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vladislav.karadzic\Desktop\Javna potrošnja Q3 2025\"/>
    </mc:Choice>
  </mc:AlternateContent>
  <xr:revisionPtr revIDLastSave="0" documentId="13_ncr:1_{17091364-F77C-4CCA-97DA-4B3A9A4516D1}" xr6:coauthVersionLast="36" xr6:coauthVersionMax="36" xr10:uidLastSave="{00000000-0000-0000-0000-000000000000}"/>
  <bookViews>
    <workbookView xWindow="0" yWindow="0" windowWidth="28800" windowHeight="11385" tabRatio="607" activeTab="1" xr2:uid="{00000000-000D-0000-FFFF-FFFF00000000}"/>
  </bookViews>
  <sheets>
    <sheet name="PRIHODI I-IX 2025" sheetId="2" r:id="rId1"/>
    <sheet name="RASHODI I-IX 2025" sheetId="1" r:id="rId2"/>
    <sheet name="NEIZMIRENE OBAVEZE I-IX 2025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3" i="2" l="1"/>
  <c r="J84" i="1" l="1"/>
  <c r="J83" i="1" s="1"/>
  <c r="J19" i="2"/>
  <c r="J44" i="2"/>
  <c r="J41" i="2"/>
  <c r="J40" i="2" s="1"/>
  <c r="W11" i="3" l="1"/>
  <c r="AA11" i="3" l="1"/>
  <c r="Z11" i="3"/>
  <c r="Y11" i="3"/>
  <c r="X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D4" i="3"/>
  <c r="E4" i="3"/>
  <c r="F4" i="3"/>
  <c r="G4" i="3"/>
  <c r="H4" i="3"/>
  <c r="I4" i="3"/>
  <c r="J4" i="3"/>
  <c r="K4" i="3"/>
  <c r="L4" i="3"/>
  <c r="M4" i="3"/>
  <c r="N4" i="3"/>
  <c r="O4" i="3"/>
  <c r="Q4" i="3"/>
  <c r="R4" i="3"/>
  <c r="S4" i="3"/>
  <c r="T4" i="3"/>
  <c r="U4" i="3"/>
  <c r="V4" i="3"/>
  <c r="W4" i="3"/>
  <c r="W17" i="3" s="1"/>
  <c r="X4" i="3"/>
  <c r="Y4" i="3"/>
  <c r="AB15" i="3"/>
  <c r="AB16" i="3"/>
  <c r="AB14" i="3"/>
  <c r="AB8" i="3"/>
  <c r="AB13" i="3"/>
  <c r="AB12" i="3"/>
  <c r="AB6" i="3"/>
  <c r="Q17" i="3" l="1"/>
  <c r="K17" i="3"/>
  <c r="Z4" i="3"/>
  <c r="AA4" i="3"/>
  <c r="AA17" i="3" s="1"/>
  <c r="AA99" i="1"/>
  <c r="AA96" i="1"/>
  <c r="AA93" i="1"/>
  <c r="AA90" i="1"/>
  <c r="AA89" i="1"/>
  <c r="AA84" i="1"/>
  <c r="AA83" i="1" s="1"/>
  <c r="AA75" i="1"/>
  <c r="AA74" i="1"/>
  <c r="AA70" i="1"/>
  <c r="AA60" i="1"/>
  <c r="AA59" i="1" s="1"/>
  <c r="AA49" i="1"/>
  <c r="AA44" i="1"/>
  <c r="AA41" i="1"/>
  <c r="AA4" i="1" s="1"/>
  <c r="AA36" i="1"/>
  <c r="AA26" i="1"/>
  <c r="AA19" i="1"/>
  <c r="AA11" i="1"/>
  <c r="AA5" i="1"/>
  <c r="AA54" i="2"/>
  <c r="AA51" i="2"/>
  <c r="AA47" i="2"/>
  <c r="AA40" i="2"/>
  <c r="AA33" i="2"/>
  <c r="AA19" i="2"/>
  <c r="AA14" i="2"/>
  <c r="AA9" i="2"/>
  <c r="AA4" i="2"/>
  <c r="AA13" i="2" l="1"/>
  <c r="AA50" i="2"/>
  <c r="AA3" i="2"/>
  <c r="AA63" i="2" s="1"/>
  <c r="Z17" i="3"/>
  <c r="AA3" i="1"/>
  <c r="AA103" i="1" s="1"/>
  <c r="X17" i="3" l="1"/>
  <c r="X99" i="1"/>
  <c r="X96" i="1"/>
  <c r="X93" i="1"/>
  <c r="X90" i="1"/>
  <c r="X89" i="1" s="1"/>
  <c r="X84" i="1"/>
  <c r="X83" i="1"/>
  <c r="X75" i="1"/>
  <c r="X74" i="1" s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50" i="2" s="1"/>
  <c r="X47" i="2"/>
  <c r="X44" i="2"/>
  <c r="X41" i="2"/>
  <c r="X33" i="2"/>
  <c r="X19" i="2"/>
  <c r="X14" i="2"/>
  <c r="X13" i="2" s="1"/>
  <c r="X9" i="2"/>
  <c r="X4" i="2"/>
  <c r="X40" i="2" l="1"/>
  <c r="X4" i="1"/>
  <c r="X3" i="1" s="1"/>
  <c r="X103" i="1" s="1"/>
  <c r="X3" i="2"/>
  <c r="X63" i="2" s="1"/>
  <c r="Z54" i="2" l="1"/>
  <c r="Z50" i="2" s="1"/>
  <c r="Z47" i="2"/>
  <c r="Z44" i="2"/>
  <c r="Z41" i="2"/>
  <c r="Z40" i="2" s="1"/>
  <c r="Z33" i="2"/>
  <c r="Z3" i="2" s="1"/>
  <c r="Z63" i="2" l="1"/>
  <c r="V17" i="3" l="1"/>
  <c r="V99" i="1"/>
  <c r="V96" i="1"/>
  <c r="V93" i="1"/>
  <c r="V90" i="1"/>
  <c r="V89" i="1"/>
  <c r="V84" i="1"/>
  <c r="V83" i="1"/>
  <c r="V75" i="1"/>
  <c r="V74" i="1" s="1"/>
  <c r="V70" i="1"/>
  <c r="V60" i="1"/>
  <c r="V59" i="1" s="1"/>
  <c r="V49" i="1"/>
  <c r="V44" i="1"/>
  <c r="V41" i="1"/>
  <c r="V36" i="1"/>
  <c r="V26" i="1"/>
  <c r="V4" i="1" s="1"/>
  <c r="V19" i="1"/>
  <c r="V11" i="1"/>
  <c r="V5" i="1"/>
  <c r="V60" i="2"/>
  <c r="V59" i="2"/>
  <c r="V54" i="2"/>
  <c r="V51" i="2"/>
  <c r="V50" i="2" s="1"/>
  <c r="V47" i="2"/>
  <c r="V44" i="2"/>
  <c r="V41" i="2"/>
  <c r="V40" i="2" s="1"/>
  <c r="V33" i="2"/>
  <c r="V19" i="2"/>
  <c r="V14" i="2"/>
  <c r="V13" i="2" s="1"/>
  <c r="V9" i="2"/>
  <c r="V4" i="2"/>
  <c r="V3" i="2" l="1"/>
  <c r="V63" i="2" s="1"/>
  <c r="V3" i="1"/>
  <c r="V103" i="1" s="1"/>
  <c r="Y17" i="3" l="1"/>
  <c r="Y99" i="1"/>
  <c r="Y96" i="1"/>
  <c r="Y93" i="1"/>
  <c r="Y90" i="1"/>
  <c r="Y89" i="1"/>
  <c r="Y84" i="1"/>
  <c r="Y83" i="1"/>
  <c r="Y75" i="1"/>
  <c r="Y74" i="1"/>
  <c r="Y70" i="1"/>
  <c r="Y60" i="1"/>
  <c r="Y59" i="1" s="1"/>
  <c r="Y49" i="1"/>
  <c r="Y44" i="1"/>
  <c r="Y41" i="1"/>
  <c r="Y36" i="1"/>
  <c r="Y26" i="1"/>
  <c r="Y19" i="1"/>
  <c r="Y11" i="1"/>
  <c r="Y5" i="1"/>
  <c r="Y4" i="1" s="1"/>
  <c r="Y60" i="2"/>
  <c r="Y59" i="2" s="1"/>
  <c r="Y54" i="2"/>
  <c r="Y51" i="2"/>
  <c r="Y50" i="2" s="1"/>
  <c r="Y47" i="2"/>
  <c r="Y44" i="2"/>
  <c r="Y41" i="2"/>
  <c r="Y40" i="2"/>
  <c r="Y33" i="2"/>
  <c r="Y19" i="2"/>
  <c r="Y14" i="2"/>
  <c r="Y13" i="2" s="1"/>
  <c r="Y9" i="2"/>
  <c r="Y4" i="2"/>
  <c r="Y3" i="1" l="1"/>
  <c r="Y103" i="1" s="1"/>
  <c r="Y3" i="2"/>
  <c r="Y63" i="2" s="1"/>
  <c r="U17" i="3" l="1"/>
  <c r="U99" i="1"/>
  <c r="U96" i="1"/>
  <c r="U93" i="1"/>
  <c r="U90" i="1"/>
  <c r="U89" i="1"/>
  <c r="U84" i="1"/>
  <c r="U83" i="1"/>
  <c r="U75" i="1"/>
  <c r="U74" i="1"/>
  <c r="U70" i="1"/>
  <c r="U60" i="1"/>
  <c r="U59" i="1" s="1"/>
  <c r="U49" i="1"/>
  <c r="U44" i="1"/>
  <c r="U41" i="1"/>
  <c r="U36" i="1"/>
  <c r="U4" i="1" s="1"/>
  <c r="U26" i="1"/>
  <c r="U19" i="1"/>
  <c r="U11" i="1"/>
  <c r="U5" i="1"/>
  <c r="U60" i="2"/>
  <c r="U59" i="2"/>
  <c r="U54" i="2"/>
  <c r="U51" i="2"/>
  <c r="U50" i="2" s="1"/>
  <c r="U47" i="2"/>
  <c r="U44" i="2"/>
  <c r="U41" i="2"/>
  <c r="U40" i="2" s="1"/>
  <c r="U33" i="2"/>
  <c r="U19" i="2"/>
  <c r="U14" i="2"/>
  <c r="U9" i="2"/>
  <c r="U4" i="2"/>
  <c r="U13" i="2" l="1"/>
  <c r="U3" i="1"/>
  <c r="U103" i="1" s="1"/>
  <c r="U3" i="2"/>
  <c r="U63" i="2" s="1"/>
  <c r="T17" i="3" l="1"/>
  <c r="T99" i="1"/>
  <c r="T96" i="1"/>
  <c r="T93" i="1"/>
  <c r="T90" i="1"/>
  <c r="T89" i="1"/>
  <c r="T84" i="1"/>
  <c r="T83" i="1"/>
  <c r="T75" i="1"/>
  <c r="T74" i="1"/>
  <c r="T70" i="1"/>
  <c r="T60" i="1"/>
  <c r="T59" i="1" s="1"/>
  <c r="T51" i="1"/>
  <c r="T49" i="1" s="1"/>
  <c r="T44" i="1"/>
  <c r="T41" i="1"/>
  <c r="T4" i="1" s="1"/>
  <c r="T36" i="1"/>
  <c r="T26" i="1"/>
  <c r="T19" i="1"/>
  <c r="T11" i="1"/>
  <c r="T5" i="1"/>
  <c r="T60" i="2"/>
  <c r="T59" i="2" s="1"/>
  <c r="T54" i="2"/>
  <c r="T51" i="2"/>
  <c r="T47" i="2"/>
  <c r="T44" i="2"/>
  <c r="T41" i="2"/>
  <c r="T40" i="2" s="1"/>
  <c r="T33" i="2"/>
  <c r="T27" i="2"/>
  <c r="T19" i="2"/>
  <c r="T14" i="2"/>
  <c r="T9" i="2"/>
  <c r="T4" i="2"/>
  <c r="T13" i="2" l="1"/>
  <c r="T50" i="2"/>
  <c r="T3" i="2"/>
  <c r="T3" i="1"/>
  <c r="T103" i="1" s="1"/>
  <c r="T63" i="2" l="1"/>
  <c r="R17" i="3"/>
  <c r="R99" i="1"/>
  <c r="R96" i="1"/>
  <c r="R93" i="1"/>
  <c r="R90" i="1"/>
  <c r="R89" i="1"/>
  <c r="R84" i="1"/>
  <c r="R83" i="1" s="1"/>
  <c r="R75" i="1"/>
  <c r="R74" i="1"/>
  <c r="R70" i="1"/>
  <c r="R60" i="1"/>
  <c r="R59" i="1" s="1"/>
  <c r="R49" i="1"/>
  <c r="R44" i="1"/>
  <c r="R41" i="1"/>
  <c r="R36" i="1"/>
  <c r="R26" i="1"/>
  <c r="R19" i="1"/>
  <c r="R4" i="1" s="1"/>
  <c r="R11" i="1"/>
  <c r="R5" i="1"/>
  <c r="R60" i="2"/>
  <c r="R59" i="2" s="1"/>
  <c r="R54" i="2"/>
  <c r="R51" i="2"/>
  <c r="R50" i="2" s="1"/>
  <c r="R47" i="2"/>
  <c r="R44" i="2"/>
  <c r="R41" i="2"/>
  <c r="R40" i="2" s="1"/>
  <c r="R33" i="2"/>
  <c r="R19" i="2"/>
  <c r="R14" i="2"/>
  <c r="R13" i="2" s="1"/>
  <c r="R9" i="2"/>
  <c r="R4" i="2"/>
  <c r="R3" i="2" l="1"/>
  <c r="R63" i="2" s="1"/>
  <c r="R3" i="1"/>
  <c r="R103" i="1" s="1"/>
  <c r="S17" i="3" l="1"/>
  <c r="S99" i="1"/>
  <c r="S96" i="1"/>
  <c r="S93" i="1"/>
  <c r="S90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/>
  <c r="S33" i="2"/>
  <c r="S19" i="2"/>
  <c r="S14" i="2"/>
  <c r="S9" i="2"/>
  <c r="S4" i="2"/>
  <c r="P10" i="3"/>
  <c r="AB10" i="3" s="1"/>
  <c r="P7" i="3"/>
  <c r="AB7" i="3" s="1"/>
  <c r="P5" i="3"/>
  <c r="P99" i="1"/>
  <c r="P96" i="1"/>
  <c r="P93" i="1"/>
  <c r="P90" i="1"/>
  <c r="P89" i="1" s="1"/>
  <c r="P84" i="1"/>
  <c r="P83" i="1"/>
  <c r="P82" i="1"/>
  <c r="P81" i="1"/>
  <c r="P75" i="1" s="1"/>
  <c r="P74" i="1" s="1"/>
  <c r="P77" i="1"/>
  <c r="P73" i="1"/>
  <c r="P70" i="1"/>
  <c r="P69" i="1"/>
  <c r="P63" i="1"/>
  <c r="P60" i="1"/>
  <c r="P59" i="1" s="1"/>
  <c r="P57" i="1"/>
  <c r="P49" i="1" s="1"/>
  <c r="P44" i="1"/>
  <c r="P41" i="1"/>
  <c r="P36" i="1"/>
  <c r="P35" i="1"/>
  <c r="P26" i="1"/>
  <c r="P22" i="1"/>
  <c r="P19" i="1"/>
  <c r="P11" i="1"/>
  <c r="P5" i="1"/>
  <c r="P60" i="2"/>
  <c r="P59" i="2" s="1"/>
  <c r="P54" i="2"/>
  <c r="P51" i="2"/>
  <c r="P47" i="2"/>
  <c r="P44" i="2"/>
  <c r="P41" i="2"/>
  <c r="P40" i="2" s="1"/>
  <c r="P33" i="2"/>
  <c r="P19" i="2"/>
  <c r="P14" i="2"/>
  <c r="P9" i="2"/>
  <c r="P4" i="2"/>
  <c r="S13" i="2" l="1"/>
  <c r="P13" i="2"/>
  <c r="S89" i="1"/>
  <c r="S4" i="1"/>
  <c r="P50" i="2"/>
  <c r="P4" i="3"/>
  <c r="P17" i="3" s="1"/>
  <c r="AB5" i="3"/>
  <c r="P4" i="1"/>
  <c r="P3" i="1" s="1"/>
  <c r="P103" i="1" s="1"/>
  <c r="S59" i="1"/>
  <c r="S3" i="1"/>
  <c r="S103" i="1" s="1"/>
  <c r="P3" i="2"/>
  <c r="S3" i="2"/>
  <c r="S63" i="2" s="1"/>
  <c r="N17" i="3"/>
  <c r="N99" i="1"/>
  <c r="N96" i="1"/>
  <c r="N93" i="1"/>
  <c r="N90" i="1"/>
  <c r="N89" i="1"/>
  <c r="N84" i="1"/>
  <c r="N83" i="1" s="1"/>
  <c r="N75" i="1"/>
  <c r="N74" i="1"/>
  <c r="N70" i="1"/>
  <c r="N60" i="1"/>
  <c r="N59" i="1" s="1"/>
  <c r="N49" i="1"/>
  <c r="N44" i="1"/>
  <c r="N41" i="1"/>
  <c r="N36" i="1"/>
  <c r="N26" i="1"/>
  <c r="N19" i="1"/>
  <c r="N11" i="1"/>
  <c r="N5" i="1"/>
  <c r="N60" i="2"/>
  <c r="N59" i="2" s="1"/>
  <c r="N54" i="2"/>
  <c r="N51" i="2"/>
  <c r="N50" i="2" s="1"/>
  <c r="N47" i="2"/>
  <c r="N44" i="2"/>
  <c r="N41" i="2"/>
  <c r="N40" i="2" s="1"/>
  <c r="N33" i="2"/>
  <c r="N19" i="2"/>
  <c r="N14" i="2"/>
  <c r="N13" i="2" s="1"/>
  <c r="N9" i="2"/>
  <c r="N4" i="2"/>
  <c r="P63" i="2" l="1"/>
  <c r="N4" i="1"/>
  <c r="N3" i="1"/>
  <c r="N103" i="1" s="1"/>
  <c r="N3" i="2"/>
  <c r="N63" i="2" s="1"/>
  <c r="L17" i="3" l="1"/>
  <c r="L99" i="1"/>
  <c r="L96" i="1"/>
  <c r="L93" i="1"/>
  <c r="L90" i="1"/>
  <c r="L89" i="1" s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60" i="2"/>
  <c r="L59" i="2"/>
  <c r="L54" i="2"/>
  <c r="L51" i="2"/>
  <c r="L50" i="2"/>
  <c r="L47" i="2"/>
  <c r="L44" i="2"/>
  <c r="L41" i="2"/>
  <c r="L33" i="2"/>
  <c r="L30" i="2"/>
  <c r="L19" i="2"/>
  <c r="L14" i="2"/>
  <c r="L13" i="2" s="1"/>
  <c r="L9" i="2"/>
  <c r="L4" i="2"/>
  <c r="L3" i="2" l="1"/>
  <c r="L40" i="2"/>
  <c r="L4" i="1"/>
  <c r="L3" i="1" s="1"/>
  <c r="L103" i="1" s="1"/>
  <c r="K99" i="1"/>
  <c r="K96" i="1"/>
  <c r="K93" i="1"/>
  <c r="K90" i="1"/>
  <c r="K84" i="1"/>
  <c r="K83" i="1" s="1"/>
  <c r="K75" i="1"/>
  <c r="K74" i="1"/>
  <c r="K70" i="1"/>
  <c r="K60" i="1"/>
  <c r="K59" i="1" s="1"/>
  <c r="K44" i="1"/>
  <c r="K41" i="1"/>
  <c r="K36" i="1"/>
  <c r="K4" i="1" s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19" i="2"/>
  <c r="K13" i="2" s="1"/>
  <c r="K9" i="2"/>
  <c r="K4" i="2"/>
  <c r="K40" i="2" l="1"/>
  <c r="K89" i="1"/>
  <c r="L63" i="2"/>
  <c r="K3" i="2"/>
  <c r="K63" i="2" s="1"/>
  <c r="K3" i="1"/>
  <c r="K103" i="1" s="1"/>
  <c r="I17" i="3" l="1"/>
  <c r="I99" i="1"/>
  <c r="I96" i="1"/>
  <c r="I93" i="1"/>
  <c r="I90" i="1"/>
  <c r="I89" i="1" s="1"/>
  <c r="I84" i="1"/>
  <c r="I83" i="1" s="1"/>
  <c r="I75" i="1"/>
  <c r="I74" i="1" s="1"/>
  <c r="I70" i="1"/>
  <c r="I60" i="1"/>
  <c r="I49" i="1"/>
  <c r="I44" i="1"/>
  <c r="I41" i="1"/>
  <c r="I36" i="1"/>
  <c r="I26" i="1"/>
  <c r="I19" i="1"/>
  <c r="I11" i="1"/>
  <c r="I5" i="1"/>
  <c r="I60" i="2"/>
  <c r="I59" i="2" s="1"/>
  <c r="I54" i="2"/>
  <c r="I51" i="2"/>
  <c r="I50" i="2"/>
  <c r="I47" i="2"/>
  <c r="I44" i="2"/>
  <c r="I41" i="2"/>
  <c r="I33" i="2"/>
  <c r="I19" i="2"/>
  <c r="I14" i="2"/>
  <c r="I9" i="2"/>
  <c r="I4" i="2"/>
  <c r="I13" i="2" l="1"/>
  <c r="I4" i="1"/>
  <c r="I59" i="1"/>
  <c r="I3" i="1" s="1"/>
  <c r="I103" i="1" s="1"/>
  <c r="I40" i="2"/>
  <c r="I3" i="2"/>
  <c r="I63" i="2" s="1"/>
  <c r="G17" i="3" l="1"/>
  <c r="G99" i="1"/>
  <c r="G97" i="1"/>
  <c r="G96" i="1"/>
  <c r="G93" i="1"/>
  <c r="G90" i="1"/>
  <c r="G89" i="1"/>
  <c r="G84" i="1"/>
  <c r="G83" i="1" s="1"/>
  <c r="G77" i="1"/>
  <c r="G75" i="1" s="1"/>
  <c r="G74" i="1" s="1"/>
  <c r="G70" i="1"/>
  <c r="G69" i="1"/>
  <c r="G65" i="1"/>
  <c r="G63" i="1"/>
  <c r="G62" i="1"/>
  <c r="G60" i="1"/>
  <c r="G59" i="1" s="1"/>
  <c r="G57" i="1"/>
  <c r="G49" i="1"/>
  <c r="G44" i="1"/>
  <c r="G41" i="1"/>
  <c r="G36" i="1"/>
  <c r="G26" i="1"/>
  <c r="G23" i="1"/>
  <c r="G19" i="1"/>
  <c r="G11" i="1"/>
  <c r="G5" i="1"/>
  <c r="G60" i="2"/>
  <c r="G59" i="2" s="1"/>
  <c r="G54" i="2"/>
  <c r="G51" i="2"/>
  <c r="G50" i="2" s="1"/>
  <c r="G47" i="2"/>
  <c r="G44" i="2"/>
  <c r="G41" i="2"/>
  <c r="G33" i="2"/>
  <c r="G19" i="2"/>
  <c r="G14" i="2"/>
  <c r="G13" i="2" s="1"/>
  <c r="G9" i="2"/>
  <c r="G4" i="2"/>
  <c r="G4" i="1" l="1"/>
  <c r="G3" i="1" s="1"/>
  <c r="G103" i="1" s="1"/>
  <c r="G3" i="2"/>
  <c r="G40" i="2"/>
  <c r="E17" i="3"/>
  <c r="F17" i="3"/>
  <c r="E99" i="1"/>
  <c r="E96" i="1"/>
  <c r="E93" i="1"/>
  <c r="E89" i="1" s="1"/>
  <c r="E90" i="1"/>
  <c r="E84" i="1"/>
  <c r="E83" i="1"/>
  <c r="E75" i="1"/>
  <c r="E74" i="1" s="1"/>
  <c r="E70" i="1"/>
  <c r="E60" i="1"/>
  <c r="E59" i="1" s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19" i="2"/>
  <c r="E14" i="2"/>
  <c r="E13" i="2" s="1"/>
  <c r="E9" i="2"/>
  <c r="E4" i="2"/>
  <c r="E50" i="2" l="1"/>
  <c r="E4" i="1"/>
  <c r="G63" i="2"/>
  <c r="E3" i="2"/>
  <c r="E63" i="2" s="1"/>
  <c r="E3" i="1"/>
  <c r="E103" i="1" s="1"/>
  <c r="C11" i="3" l="1"/>
  <c r="C4" i="3"/>
  <c r="C17" i="3" l="1"/>
  <c r="D9" i="3"/>
  <c r="D99" i="1"/>
  <c r="D96" i="1"/>
  <c r="D93" i="1"/>
  <c r="D89" i="1" s="1"/>
  <c r="D90" i="1"/>
  <c r="D84" i="1"/>
  <c r="D83" i="1" s="1"/>
  <c r="D75" i="1"/>
  <c r="D74" i="1" s="1"/>
  <c r="D70" i="1"/>
  <c r="D60" i="1"/>
  <c r="D59" i="1" s="1"/>
  <c r="D49" i="1"/>
  <c r="D44" i="1"/>
  <c r="D41" i="1"/>
  <c r="D36" i="1"/>
  <c r="D4" i="1" s="1"/>
  <c r="D26" i="1"/>
  <c r="D19" i="1"/>
  <c r="D11" i="1"/>
  <c r="D5" i="1"/>
  <c r="D60" i="2"/>
  <c r="D59" i="2"/>
  <c r="D54" i="2"/>
  <c r="D51" i="2"/>
  <c r="D47" i="2"/>
  <c r="D44" i="2"/>
  <c r="D41" i="2"/>
  <c r="D33" i="2"/>
  <c r="D19" i="2"/>
  <c r="D14" i="2"/>
  <c r="D13" i="2" s="1"/>
  <c r="D9" i="2"/>
  <c r="D4" i="2"/>
  <c r="D40" i="2" l="1"/>
  <c r="AB9" i="3"/>
  <c r="D17" i="3"/>
  <c r="D3" i="2"/>
  <c r="D50" i="2"/>
  <c r="D3" i="1"/>
  <c r="D103" i="1" s="1"/>
  <c r="D63" i="2" l="1"/>
  <c r="C99" i="1"/>
  <c r="C96" i="1"/>
  <c r="C93" i="1"/>
  <c r="C90" i="1"/>
  <c r="C89" i="1" s="1"/>
  <c r="C84" i="1"/>
  <c r="C83" i="1" s="1"/>
  <c r="C75" i="1"/>
  <c r="C74" i="1" s="1"/>
  <c r="C70" i="1"/>
  <c r="C60" i="1"/>
  <c r="C59" i="1" s="1"/>
  <c r="C49" i="1"/>
  <c r="C44" i="1"/>
  <c r="C41" i="1"/>
  <c r="C36" i="1"/>
  <c r="C26" i="1"/>
  <c r="C4" i="1" s="1"/>
  <c r="C19" i="1"/>
  <c r="C11" i="1"/>
  <c r="C5" i="1"/>
  <c r="C60" i="2"/>
  <c r="C59" i="2" s="1"/>
  <c r="C54" i="2"/>
  <c r="C51" i="2"/>
  <c r="C50" i="2" s="1"/>
  <c r="C47" i="2"/>
  <c r="C44" i="2"/>
  <c r="C41" i="2"/>
  <c r="C40" i="2" s="1"/>
  <c r="C33" i="2"/>
  <c r="C19" i="2"/>
  <c r="C14" i="2"/>
  <c r="C13" i="2" s="1"/>
  <c r="C9" i="2"/>
  <c r="C4" i="2"/>
  <c r="C3" i="2" l="1"/>
  <c r="C3" i="1"/>
  <c r="C103" i="1" s="1"/>
  <c r="C63" i="2" l="1"/>
  <c r="M17" i="3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19" i="2"/>
  <c r="M14" i="2"/>
  <c r="M13" i="2" s="1"/>
  <c r="M9" i="2"/>
  <c r="M4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J4" i="2"/>
  <c r="J9" i="2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W14" i="2"/>
  <c r="W19" i="2"/>
  <c r="H4" i="2"/>
  <c r="H9" i="2"/>
  <c r="H14" i="2"/>
  <c r="H19" i="2"/>
  <c r="H33" i="2"/>
  <c r="H41" i="2"/>
  <c r="H40" i="2" s="1"/>
  <c r="H44" i="2"/>
  <c r="H47" i="2"/>
  <c r="H51" i="2"/>
  <c r="H13" i="2" l="1"/>
  <c r="W13" i="2"/>
  <c r="H3" i="2"/>
  <c r="W89" i="1"/>
  <c r="W59" i="1"/>
  <c r="W4" i="1"/>
  <c r="W3" i="1" s="1"/>
  <c r="F4" i="2" l="1"/>
  <c r="F9" i="2"/>
  <c r="F14" i="2"/>
  <c r="F19" i="2"/>
  <c r="F33" i="2"/>
  <c r="F41" i="2"/>
  <c r="F44" i="2"/>
  <c r="F47" i="2"/>
  <c r="F51" i="2"/>
  <c r="F13" i="2" l="1"/>
  <c r="F40" i="2"/>
  <c r="F3" i="2"/>
  <c r="J33" i="2" l="1"/>
  <c r="J47" i="2"/>
  <c r="J51" i="2"/>
  <c r="J54" i="2"/>
  <c r="J50" i="2" l="1"/>
  <c r="W103" i="1"/>
  <c r="AB56" i="1" l="1"/>
  <c r="F99" i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J3" i="1" s="1"/>
  <c r="Q59" i="1"/>
  <c r="O89" i="1"/>
  <c r="F59" i="1"/>
  <c r="J14" i="2"/>
  <c r="J13" i="2" l="1"/>
  <c r="J3" i="2" s="1"/>
  <c r="J63" i="2" s="1"/>
  <c r="J103" i="1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Q19" i="2" l="1"/>
  <c r="O19" i="2"/>
  <c r="J17" i="3" l="1"/>
  <c r="H83" i="1" l="1"/>
  <c r="H74" i="1"/>
  <c r="H4" i="1" l="1"/>
  <c r="H3" i="1" s="1"/>
  <c r="H103" i="1" s="1"/>
  <c r="H60" i="2"/>
  <c r="H59" i="2" s="1"/>
  <c r="H63" i="2" l="1"/>
  <c r="AB58" i="2" l="1"/>
  <c r="AB62" i="1" l="1"/>
  <c r="AB63" i="1"/>
  <c r="AB64" i="1"/>
  <c r="AB65" i="1"/>
  <c r="AB66" i="1"/>
  <c r="AB67" i="1"/>
  <c r="AB68" i="1"/>
  <c r="AB69" i="1"/>
  <c r="AB61" i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9" i="2"/>
  <c r="W4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AB4" i="3" l="1"/>
  <c r="O9" i="2" l="1"/>
  <c r="AB39" i="2" l="1"/>
  <c r="C25" i="11" l="1"/>
  <c r="C34" i="12" l="1"/>
  <c r="D34" i="12" s="1"/>
  <c r="AB48" i="1" l="1"/>
  <c r="AB58" i="1"/>
  <c r="F74" i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O14" i="2"/>
  <c r="O13" i="2" s="1"/>
  <c r="Q14" i="2"/>
  <c r="Q13" i="2" s="1"/>
  <c r="Q9" i="2"/>
  <c r="O4" i="2"/>
  <c r="Q4" i="2"/>
  <c r="C42" i="11" l="1"/>
  <c r="C44" i="11"/>
  <c r="AB102" i="1"/>
  <c r="AB101" i="1"/>
  <c r="AB98" i="1"/>
  <c r="AB95" i="1"/>
  <c r="AB94" i="1"/>
  <c r="C67" i="11" s="1"/>
  <c r="AB92" i="1"/>
  <c r="AB91" i="1"/>
  <c r="AB87" i="1"/>
  <c r="AB86" i="1"/>
  <c r="AB85" i="1"/>
  <c r="AB82" i="1"/>
  <c r="AB81" i="1"/>
  <c r="AB80" i="1"/>
  <c r="AB79" i="1"/>
  <c r="AB78" i="1"/>
  <c r="AB77" i="1"/>
  <c r="AB76" i="1"/>
  <c r="AB73" i="1"/>
  <c r="AB72" i="1"/>
  <c r="AB71" i="1"/>
  <c r="AB57" i="1"/>
  <c r="AB55" i="1"/>
  <c r="AB54" i="1"/>
  <c r="AB53" i="1"/>
  <c r="AB52" i="1"/>
  <c r="AB51" i="1"/>
  <c r="AB50" i="1"/>
  <c r="AB47" i="1"/>
  <c r="AB46" i="1"/>
  <c r="AB45" i="1"/>
  <c r="AB43" i="1"/>
  <c r="AB42" i="1"/>
  <c r="AB40" i="1"/>
  <c r="AB39" i="1"/>
  <c r="AB38" i="1"/>
  <c r="AB37" i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2"/>
  <c r="AB6" i="2"/>
  <c r="AB7" i="2"/>
  <c r="AB8" i="2"/>
  <c r="AB10" i="2"/>
  <c r="AB11" i="2"/>
  <c r="AB12" i="2"/>
  <c r="AB15" i="2"/>
  <c r="AB16" i="2"/>
  <c r="AB17" i="2"/>
  <c r="AB18" i="2"/>
  <c r="AB20" i="2"/>
  <c r="AB21" i="2"/>
  <c r="AB23" i="2"/>
  <c r="AB37" i="2"/>
  <c r="AB24" i="2"/>
  <c r="AB25" i="2"/>
  <c r="AB26" i="2"/>
  <c r="AB27" i="2"/>
  <c r="AB28" i="2"/>
  <c r="AB29" i="2"/>
  <c r="AB30" i="2"/>
  <c r="AB31" i="2"/>
  <c r="AB32" i="2"/>
  <c r="AB34" i="2"/>
  <c r="AB35" i="2"/>
  <c r="AB36" i="2"/>
  <c r="AB38" i="2"/>
  <c r="AB42" i="2"/>
  <c r="AB43" i="2"/>
  <c r="AB45" i="2"/>
  <c r="AB46" i="2"/>
  <c r="AB48" i="2"/>
  <c r="AB49" i="2"/>
  <c r="AB52" i="2"/>
  <c r="AB53" i="2"/>
  <c r="AB55" i="2"/>
  <c r="AB56" i="2"/>
  <c r="AB57" i="2"/>
  <c r="AB62" i="2"/>
  <c r="AB61" i="2"/>
  <c r="AB14" i="2" l="1"/>
  <c r="AB51" i="2"/>
  <c r="AB54" i="2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22" i="2"/>
  <c r="AB19" i="2" s="1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Q3" i="2"/>
  <c r="Q63" i="2" s="1"/>
  <c r="F63" i="2"/>
  <c r="AB13" i="2"/>
  <c r="O63" i="2" l="1"/>
  <c r="AB3" i="2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8" i="1"/>
  <c r="AB84" i="1" s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11" i="3" l="1"/>
  <c r="AB17" i="3" s="1"/>
  <c r="AB97" i="1"/>
  <c r="AB96" i="1" s="1"/>
  <c r="C60" i="11" l="1"/>
  <c r="AB89" i="1"/>
  <c r="C53" i="12" l="1"/>
  <c r="D53" i="12" s="1"/>
  <c r="AB100" i="1"/>
  <c r="AB99" i="1" s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<sst xmlns="http://schemas.openxmlformats.org/spreadsheetml/2006/main" count="747" uniqueCount="445">
  <si>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</si>
  <si>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</si>
  <si>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</si>
  <si>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</si>
  <si>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</si>
  <si>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</si>
  <si>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</si>
  <si>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</si>
  <si>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</si>
  <si>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</si>
  <si>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</si>
  <si>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</si>
  <si>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</si>
  <si>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</si>
  <si>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</si>
  <si>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</si>
  <si>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</si>
  <si>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</si>
  <si>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</si>
  <si>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</si>
  <si>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</si>
  <si>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</si>
  <si>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</si>
  <si>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</si>
  <si>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</si>
  <si>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</si>
  <si>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</si>
  <si>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</si>
  <si>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</si>
  <si>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</si>
  <si>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</si>
  <si>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</si>
  <si>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</si>
  <si>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</si>
  <si>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</si>
  <si>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</si>
  <si>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</si>
  <si>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</si>
  <si>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</si>
  <si>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</si>
  <si>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</si>
  <si>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</si>
  <si>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</si>
  <si>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</si>
  <si>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</si>
  <si>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</si>
  <si>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</si>
  <si>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</si>
  <si>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</si>
  <si>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</si>
  <si>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</si>
  <si>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</si>
  <si>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</si>
  <si>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</si>
  <si>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</si>
  <si>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</si>
  <si>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</si>
  <si>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</si>
  <si>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</si>
  <si>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</si>
  <si>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</si>
  <si>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</si>
  <si>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</si>
  <si>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</si>
  <si>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</si>
  <si>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</si>
  <si>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</si>
  <si>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</si>
  <si>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</si>
  <si>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</si>
  <si>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</si>
  <si>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</si>
  <si>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</si>
  <si>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</si>
  <si>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</si>
  <si>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</si>
  <si>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</si>
  <si>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</si>
  <si>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</si>
  <si>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</si>
  <si>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</si>
  <si>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</si>
  <si>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</si>
  <si>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</si>
  <si>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</si>
  <si>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</si>
  <si>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</si>
  <si>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</si>
  <si>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</si>
  <si>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</si>
  <si>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</si>
  <si>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</si>
  <si>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</si>
  <si>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</si>
  <si>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</si>
  <si>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</si>
  <si>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</si>
  <si>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</si>
  <si>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</si>
  <si>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</si>
  <si>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</si>
  <si>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</si>
  <si>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</si>
  <si>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</si>
  <si>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</si>
  <si>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</si>
  <si>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</si>
  <si>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</si>
  <si>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</si>
  <si>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</si>
  <si>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</si>
  <si>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</si>
  <si>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</si>
  <si>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</si>
  <si>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</si>
  <si>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</si>
  <si>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</si>
  <si>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</si>
  <si>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</si>
  <si>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</si>
  <si>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</si>
  <si>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</si>
  <si>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</si>
  <si>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</si>
  <si>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</si>
  <si>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</si>
  <si>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</si>
  <si>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</si>
  <si>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</si>
  <si>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</si>
  <si>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</si>
  <si>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</si>
  <si>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</si>
  <si>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</si>
  <si>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</si>
  <si>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</si>
  <si>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</si>
  <si>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</si>
  <si>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</si>
  <si>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</si>
  <si>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</si>
  <si>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</si>
  <si>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</si>
  <si>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</si>
  <si>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</si>
  <si>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</si>
  <si>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</si>
  <si>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</si>
  <si>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</si>
  <si>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</si>
  <si>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</si>
  <si>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</si>
  <si>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</si>
  <si>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</si>
  <si>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</si>
  <si>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</si>
  <si>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</si>
  <si>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</si>
  <si>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</si>
  <si>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</si>
  <si>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</si>
  <si>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</si>
  <si>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</si>
  <si>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</si>
  <si>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</si>
  <si>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</si>
  <si>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</si>
  <si>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</si>
  <si>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</si>
  <si>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</si>
  <si>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</si>
  <si>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</si>
  <si>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</si>
  <si>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</si>
  <si>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</si>
  <si>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</si>
  <si>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</si>
  <si>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</si>
  <si>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</si>
  <si>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</si>
  <si>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</si>
  <si>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</si>
  <si>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</si>
  <si>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</si>
  <si>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</si>
  <si>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</si>
  <si>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</si>
  <si>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</si>
  <si>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</si>
  <si>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</si>
  <si>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</si>
  <si>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</si>
  <si>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</si>
  <si>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</si>
  <si>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</si>
  <si>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</si>
  <si>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</si>
  <si>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</si>
  <si>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</si>
  <si>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</si>
  <si>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</si>
  <si>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</si>
  <si>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</si>
  <si>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</si>
  <si>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</si>
  <si>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</si>
  <si>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</si>
  <si>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</si>
  <si>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</si>
  <si>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</si>
  <si>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</si>
  <si>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</si>
  <si>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</si>
  <si>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</si>
  <si>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</si>
  <si>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</si>
  <si>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</si>
  <si>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</si>
  <si>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</si>
  <si>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</si>
  <si>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</si>
  <si>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</si>
  <si>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</si>
  <si>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</si>
  <si>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</si>
  <si>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</si>
  <si>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</si>
  <si>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</si>
  <si>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</si>
  <si>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</si>
  <si>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</si>
  <si>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</si>
  <si>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</si>
  <si>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</si>
  <si>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</si>
  <si>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</si>
  <si>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</si>
  <si>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</si>
  <si>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</si>
  <si>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</si>
  <si>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</si>
  <si>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</si>
  <si>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</si>
  <si>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</si>
  <si>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</si>
  <si>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</si>
  <si>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</si>
  <si>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</si>
  <si>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</si>
  <si>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</si>
  <si>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</si>
  <si>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</si>
  <si>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</si>
  <si>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</si>
  <si>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</si>
  <si>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</si>
  <si>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</si>
  <si>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</si>
  <si>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</si>
  <si>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</si>
  <si>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</si>
  <si>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</si>
  <si>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</si>
  <si>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</si>
  <si>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</si>
  <si>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</si>
  <si>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</si>
  <si>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</si>
  <si>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</si>
  <si>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</si>
  <si>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</si>
  <si>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</si>
  <si>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</si>
  <si>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</si>
  <si>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</si>
  <si>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</si>
  <si>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</si>
  <si>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</si>
  <si>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</si>
  <si>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</si>
  <si>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</si>
  <si>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</si>
  <si>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</si>
  <si>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</si>
  <si>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</si>
  <si>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</si>
  <si>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</si>
  <si>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</si>
  <si>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</si>
  <si>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</si>
  <si>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</si>
  <si>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</si>
  <si>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</si>
  <si>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</si>
  <si>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</si>
  <si>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</si>
  <si>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</si>
  <si>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</si>
  <si>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</si>
  <si>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</si>
  <si>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</si>
  <si>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</si>
  <si>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</si>
  <si>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</si>
  <si>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</si>
  <si>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</si>
  <si>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</si>
  <si>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</si>
  <si>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</si>
  <si>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</si>
  <si>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</si>
  <si>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</si>
  <si>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</si>
  <si>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</si>
  <si>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</si>
  <si>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</si>
  <si>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</si>
  <si>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</si>
  <si>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</si>
  <si>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</si>
  <si>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</si>
  <si>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</si>
  <si>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</si>
  <si>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</si>
  <si>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</si>
  <si>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</si>
  <si>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</si>
  <si>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</si>
  <si>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</si>
  <si>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</si>
  <si>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</si>
  <si>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</si>
  <si>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</si>
  <si>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</si>
  <si>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</si>
  <si>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</si>
  <si>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</si>
  <si>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</si>
  <si>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</si>
  <si>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</si>
  <si>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</si>
  <si>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</si>
  <si>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</si>
  <si>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</si>
  <si>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</si>
  <si>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</si>
  <si>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</si>
  <si>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</si>
  <si>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</si>
  <si>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</si>
  <si>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</si>
  <si>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</si>
  <si>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</si>
  <si>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</si>
  <si>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</si>
  <si>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</si>
  <si>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</si>
  <si>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</si>
  <si>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</si>
  <si>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</si>
  <si>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</si>
  <si>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</si>
  <si>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</si>
  <si>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</si>
  <si>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</si>
  <si>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</si>
  <si>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</si>
  <si>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</si>
  <si>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</si>
  <si>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</si>
  <si>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</si>
  <si>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</si>
  <si>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</si>
  <si>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</si>
  <si>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</si>
  <si>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</si>
  <si>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</si>
  <si>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</si>
  <si>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</si>
  <si>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</si>
  <si>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</si>
  <si>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</si>
  <si>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</si>
  <si>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</si>
  <si>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</si>
  <si>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</si>
  <si>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</si>
  <si>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</si>
  <si>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</si>
  <si>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</si>
  <si>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</si>
  <si>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</si>
  <si>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</si>
  <si>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</si>
  <si>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</si>
  <si>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</si>
  <si>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</si>
  <si>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</si>
  <si>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</si>
  <si>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</si>
  <si>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</si>
  <si>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</si>
  <si>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</si>
  <si>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</si>
  <si>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</si>
  <si>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</si>
  <si>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</si>
  <si>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</si>
  <si>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</si>
  <si>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</si>
  <si>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</si>
  <si>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</si>
  <si>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</si>
  <si>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</si>
  <si>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</si>
  <si>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</si>
  <si>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</si>
  <si>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</si>
  <si>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</si>
  <si>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</si>
  <si>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</si>
  <si>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</si>
  <si>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</si>
  <si>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</si>
  <si>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</si>
  <si>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</si>
  <si>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</si>
  <si>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</si>
  <si>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</si>
  <si>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</si>
  <si>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</si>
  <si>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</si>
  <si>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</si>
  <si>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</si>
  <si>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</si>
  <si>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</si>
  <si>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</si>
  <si>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</si>
  <si>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</si>
  <si>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</si>
  <si>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</si>
  <si>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</si>
  <si>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</si>
  <si>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</si>
  <si>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jedinica lokalne samouprave na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</si>
</sst>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name val="Calibri Light"/>
      <family val="1"/>
      <scheme val="major"/>
    </font>
    <font>
      <sz val="11"/>
      <name val="Calibri"/>
      <family val="2"/>
      <charset val="238"/>
      <scheme val="minor"/>
    </font>
    <font>
      <sz val="11"/>
      <name val="Calibri Light"/>
      <family val="2"/>
      <scheme val="major"/>
    </font>
    <font>
      <b/>
      <sz val="11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2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87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41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41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41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42" xfId="0" applyFont="1" applyBorder="1"/>
    <xf numFmtId="174" fontId="45" fillId="0" borderId="14" xfId="0" applyNumberFormat="1" applyFont="1" applyBorder="1"/>
    <xf numFmtId="0" fontId="45" fillId="0" borderId="43" xfId="0" applyFont="1" applyBorder="1"/>
    <xf numFmtId="0" fontId="45" fillId="0" borderId="44" xfId="0" applyFont="1" applyBorder="1"/>
    <xf numFmtId="174" fontId="45" fillId="0" borderId="45" xfId="0" applyNumberFormat="1" applyFont="1" applyBorder="1"/>
    <xf numFmtId="175" fontId="45" fillId="0" borderId="45" xfId="0" applyNumberFormat="1" applyFont="1" applyBorder="1"/>
    <xf numFmtId="0" fontId="45" fillId="0" borderId="46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41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0" fillId="0" borderId="0" xfId="0" applyFont="1"/>
    <xf numFmtId="0" fontId="0" fillId="0" borderId="0" xfId="0" applyFont="1" applyAlignment="1">
      <alignment vertical="center"/>
    </xf>
    <xf numFmtId="4" fontId="7" fillId="0" borderId="13" xfId="0" applyNumberFormat="1" applyFont="1" applyBorder="1"/>
    <xf numFmtId="4" fontId="0" fillId="0" borderId="0" xfId="0" applyNumberFormat="1" applyFont="1"/>
    <xf numFmtId="4" fontId="2" fillId="32" borderId="13" xfId="0" applyNumberFormat="1" applyFont="1" applyFill="1" applyBorder="1" applyAlignment="1">
      <alignment horizontal="right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4" fontId="48" fillId="32" borderId="28" xfId="0" applyNumberFormat="1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left" vertical="center" wrapText="1"/>
    </xf>
    <xf numFmtId="4" fontId="2" fillId="33" borderId="47" xfId="0" applyNumberFormat="1" applyFont="1" applyFill="1" applyBorder="1" applyAlignment="1">
      <alignment horizontal="right" vertical="center" wrapText="1"/>
    </xf>
    <xf numFmtId="4" fontId="2" fillId="37" borderId="47" xfId="0" applyNumberFormat="1" applyFont="1" applyFill="1" applyBorder="1" applyAlignment="1">
      <alignment horizontal="right" vertical="center" wrapText="1"/>
    </xf>
    <xf numFmtId="4" fontId="2" fillId="33" borderId="50" xfId="0" applyNumberFormat="1" applyFont="1" applyFill="1" applyBorder="1"/>
    <xf numFmtId="0" fontId="2" fillId="5" borderId="28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left" vertical="center" wrapText="1"/>
    </xf>
    <xf numFmtId="4" fontId="2" fillId="5" borderId="47" xfId="0" applyNumberFormat="1" applyFont="1" applyFill="1" applyBorder="1" applyAlignment="1">
      <alignment horizontal="right" vertical="center" wrapText="1"/>
    </xf>
    <xf numFmtId="4" fontId="2" fillId="5" borderId="51" xfId="0" applyNumberFormat="1" applyFont="1" applyFill="1" applyBorder="1"/>
    <xf numFmtId="0" fontId="0" fillId="7" borderId="28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left" vertical="center" wrapText="1"/>
    </xf>
    <xf numFmtId="4" fontId="7" fillId="0" borderId="47" xfId="0" applyNumberFormat="1" applyFont="1" applyBorder="1" applyAlignment="1">
      <alignment horizontal="right" vertical="center" wrapText="1"/>
    </xf>
    <xf numFmtId="4" fontId="0" fillId="7" borderId="47" xfId="0" applyNumberFormat="1" applyFont="1" applyFill="1" applyBorder="1" applyAlignment="1">
      <alignment horizontal="right" vertical="center" wrapText="1"/>
    </xf>
    <xf numFmtId="4" fontId="0" fillId="0" borderId="50" xfId="0" applyNumberFormat="1" applyFont="1" applyBorder="1"/>
    <xf numFmtId="4" fontId="0" fillId="0" borderId="52" xfId="0" applyNumberFormat="1" applyFont="1" applyBorder="1"/>
    <xf numFmtId="4" fontId="0" fillId="0" borderId="51" xfId="0" applyNumberFormat="1" applyFont="1" applyBorder="1"/>
    <xf numFmtId="4" fontId="7" fillId="7" borderId="47" xfId="0" applyNumberFormat="1" applyFont="1" applyFill="1" applyBorder="1" applyAlignment="1">
      <alignment horizontal="right" vertical="center" wrapText="1"/>
    </xf>
    <xf numFmtId="0" fontId="0" fillId="0" borderId="28" xfId="0" applyFont="1" applyBorder="1" applyAlignment="1">
      <alignment horizontal="center" vertical="center" wrapText="1"/>
    </xf>
    <xf numFmtId="4" fontId="0" fillId="5" borderId="50" xfId="0" applyNumberFormat="1" applyFont="1" applyFill="1" applyBorder="1"/>
    <xf numFmtId="4" fontId="0" fillId="0" borderId="47" xfId="0" applyNumberFormat="1" applyFont="1" applyBorder="1" applyAlignment="1">
      <alignment horizontal="right" vertical="center" wrapText="1"/>
    </xf>
    <xf numFmtId="0" fontId="7" fillId="5" borderId="28" xfId="0" applyFont="1" applyFill="1" applyBorder="1" applyAlignment="1">
      <alignment horizontal="center" vertical="center" wrapText="1"/>
    </xf>
    <xf numFmtId="4" fontId="0" fillId="5" borderId="51" xfId="0" applyNumberFormat="1" applyFont="1" applyFill="1" applyBorder="1"/>
    <xf numFmtId="4" fontId="0" fillId="0" borderId="51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4" fontId="2" fillId="5" borderId="50" xfId="0" applyNumberFormat="1" applyFont="1" applyFill="1" applyBorder="1"/>
    <xf numFmtId="4" fontId="2" fillId="33" borderId="51" xfId="0" applyNumberFormat="1" applyFont="1" applyFill="1" applyBorder="1"/>
    <xf numFmtId="4" fontId="2" fillId="33" borderId="51" xfId="0" applyNumberFormat="1" applyFont="1" applyFill="1" applyBorder="1" applyAlignment="1">
      <alignment horizontal="right" vertical="center"/>
    </xf>
    <xf numFmtId="4" fontId="2" fillId="33" borderId="52" xfId="0" applyNumberFormat="1" applyFont="1" applyFill="1" applyBorder="1"/>
    <xf numFmtId="0" fontId="2" fillId="7" borderId="28" xfId="0" applyFont="1" applyFill="1" applyBorder="1" applyAlignment="1">
      <alignment horizontal="center" vertical="center" wrapText="1"/>
    </xf>
    <xf numFmtId="0" fontId="0" fillId="7" borderId="28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right"/>
    </xf>
    <xf numFmtId="4" fontId="7" fillId="0" borderId="48" xfId="0" applyNumberFormat="1" applyFont="1" applyBorder="1" applyAlignment="1">
      <alignment horizontal="right" vertical="center" wrapText="1"/>
    </xf>
    <xf numFmtId="4" fontId="2" fillId="32" borderId="49" xfId="0" applyNumberFormat="1" applyFont="1" applyFill="1" applyBorder="1" applyAlignment="1">
      <alignment horizontal="right" vertical="center" wrapText="1"/>
    </xf>
    <xf numFmtId="4" fontId="2" fillId="38" borderId="49" xfId="0" applyNumberFormat="1" applyFont="1" applyFill="1" applyBorder="1" applyAlignment="1">
      <alignment horizontal="right" vertical="center" wrapText="1"/>
    </xf>
    <xf numFmtId="4" fontId="2" fillId="32" borderId="8" xfId="0" applyNumberFormat="1" applyFont="1" applyFill="1" applyBorder="1"/>
    <xf numFmtId="4" fontId="0" fillId="0" borderId="0" xfId="0" applyNumberFormat="1" applyFont="1" applyAlignment="1">
      <alignment horizontal="right"/>
    </xf>
    <xf numFmtId="4" fontId="0" fillId="0" borderId="0" xfId="0" applyNumberFormat="1" applyFont="1" applyAlignment="1" applyProtection="1">
      <alignment horizontal="right"/>
      <protection locked="0"/>
    </xf>
    <xf numFmtId="4" fontId="2" fillId="32" borderId="28" xfId="0" applyNumberFormat="1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left" vertical="center" wrapText="1"/>
    </xf>
    <xf numFmtId="4" fontId="2" fillId="4" borderId="47" xfId="0" applyNumberFormat="1" applyFont="1" applyFill="1" applyBorder="1" applyAlignment="1">
      <alignment horizontal="right" vertical="center" wrapText="1"/>
    </xf>
    <xf numFmtId="4" fontId="2" fillId="36" borderId="47" xfId="0" applyNumberFormat="1" applyFont="1" applyFill="1" applyBorder="1" applyAlignment="1">
      <alignment horizontal="right" vertical="center" wrapText="1"/>
    </xf>
    <xf numFmtId="4" fontId="2" fillId="39" borderId="53" xfId="0" applyNumberFormat="1" applyFont="1" applyFill="1" applyBorder="1"/>
    <xf numFmtId="4" fontId="0" fillId="0" borderId="54" xfId="0" applyNumberFormat="1" applyFont="1" applyBorder="1"/>
    <xf numFmtId="4" fontId="2" fillId="5" borderId="54" xfId="0" applyNumberFormat="1" applyFont="1" applyFill="1" applyBorder="1"/>
    <xf numFmtId="4" fontId="0" fillId="0" borderId="30" xfId="0" applyNumberFormat="1" applyFont="1" applyBorder="1"/>
    <xf numFmtId="4" fontId="2" fillId="5" borderId="30" xfId="0" applyNumberFormat="1" applyFont="1" applyFill="1" applyBorder="1"/>
    <xf numFmtId="4" fontId="0" fillId="0" borderId="55" xfId="0" applyNumberFormat="1" applyFont="1" applyBorder="1"/>
    <xf numFmtId="4" fontId="2" fillId="5" borderId="55" xfId="0" applyNumberFormat="1" applyFont="1" applyFill="1" applyBorder="1"/>
    <xf numFmtId="4" fontId="48" fillId="5" borderId="47" xfId="0" applyNumberFormat="1" applyFont="1" applyFill="1" applyBorder="1" applyAlignment="1">
      <alignment horizontal="right" vertical="center" wrapText="1"/>
    </xf>
    <xf numFmtId="4" fontId="48" fillId="4" borderId="47" xfId="0" applyNumberFormat="1" applyFont="1" applyFill="1" applyBorder="1" applyAlignment="1">
      <alignment horizontal="right" vertical="center" wrapText="1"/>
    </xf>
    <xf numFmtId="4" fontId="48" fillId="36" borderId="47" xfId="0" applyNumberFormat="1" applyFont="1" applyFill="1" applyBorder="1" applyAlignment="1">
      <alignment horizontal="right" vertical="center" wrapText="1"/>
    </xf>
    <xf numFmtId="4" fontId="2" fillId="35" borderId="55" xfId="0" applyNumberFormat="1" applyFont="1" applyFill="1" applyBorder="1"/>
    <xf numFmtId="4" fontId="2" fillId="0" borderId="0" xfId="0" applyNumberFormat="1" applyFont="1"/>
    <xf numFmtId="4" fontId="2" fillId="33" borderId="55" xfId="0" applyNumberFormat="1" applyFont="1" applyFill="1" applyBorder="1"/>
    <xf numFmtId="0" fontId="0" fillId="5" borderId="28" xfId="0" applyFont="1" applyFill="1" applyBorder="1" applyAlignment="1">
      <alignment horizontal="center" vertical="center" wrapText="1"/>
    </xf>
    <xf numFmtId="4" fontId="0" fillId="0" borderId="48" xfId="0" applyNumberFormat="1" applyFont="1" applyBorder="1" applyAlignment="1">
      <alignment horizontal="right" vertical="center" wrapText="1"/>
    </xf>
    <xf numFmtId="4" fontId="2" fillId="32" borderId="56" xfId="0" applyNumberFormat="1" applyFont="1" applyFill="1" applyBorder="1"/>
    <xf numFmtId="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8" fillId="32" borderId="1" xfId="3" applyFont="1" applyFill="1" applyBorder="1" applyAlignment="1">
      <alignment horizontal="center" vertical="center" wrapText="1"/>
    </xf>
    <xf numFmtId="166" fontId="8" fillId="32" borderId="6" xfId="3" applyFont="1" applyFill="1" applyBorder="1" applyAlignment="1">
      <alignment horizontal="center" vertical="center" wrapText="1"/>
    </xf>
    <xf numFmtId="166" fontId="8" fillId="32" borderId="3" xfId="3" applyFont="1" applyFill="1" applyBorder="1" applyAlignment="1">
      <alignment horizontal="center" vertical="center" wrapText="1"/>
    </xf>
    <xf numFmtId="0" fontId="2" fillId="32" borderId="13" xfId="0" applyFont="1" applyFill="1" applyBorder="1" applyAlignment="1">
      <alignment horizontal="center" vertical="center" wrapText="1"/>
    </xf>
    <xf numFmtId="0" fontId="0" fillId="33" borderId="1" xfId="0" applyFont="1" applyFill="1" applyBorder="1" applyAlignment="1">
      <alignment horizontal="center" vertical="center" wrapText="1"/>
    </xf>
    <xf numFmtId="0" fontId="2" fillId="33" borderId="1" xfId="0" applyFont="1" applyFill="1" applyBorder="1" applyAlignment="1">
      <alignment horizontal="left" vertical="center" wrapText="1"/>
    </xf>
    <xf numFmtId="4" fontId="48" fillId="33" borderId="13" xfId="0" applyNumberFormat="1" applyFont="1" applyFill="1" applyBorder="1"/>
    <xf numFmtId="4" fontId="48" fillId="33" borderId="1" xfId="0" applyNumberFormat="1" applyFont="1" applyFill="1" applyBorder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4" fontId="50" fillId="6" borderId="13" xfId="0" applyNumberFormat="1" applyFont="1" applyFill="1" applyBorder="1"/>
    <xf numFmtId="4" fontId="51" fillId="0" borderId="15" xfId="0" applyNumberFormat="1" applyFont="1" applyFill="1" applyBorder="1"/>
    <xf numFmtId="4" fontId="0" fillId="0" borderId="1" xfId="0" applyNumberFormat="1" applyFont="1" applyBorder="1" applyAlignment="1">
      <alignment horizontal="right" vertical="center" wrapText="1"/>
    </xf>
    <xf numFmtId="4" fontId="50" fillId="7" borderId="13" xfId="0" applyNumberFormat="1" applyFont="1" applyFill="1" applyBorder="1"/>
    <xf numFmtId="4" fontId="50" fillId="0" borderId="13" xfId="0" applyNumberFormat="1" applyFont="1" applyFill="1" applyBorder="1"/>
    <xf numFmtId="4" fontId="52" fillId="6" borderId="13" xfId="0" applyNumberFormat="1" applyFont="1" applyFill="1" applyBorder="1"/>
    <xf numFmtId="4" fontId="48" fillId="7" borderId="1" xfId="0" applyNumberFormat="1" applyFont="1" applyFill="1" applyBorder="1"/>
    <xf numFmtId="4" fontId="50" fillId="0" borderId="13" xfId="0" applyNumberFormat="1" applyFont="1" applyBorder="1"/>
    <xf numFmtId="4" fontId="51" fillId="0" borderId="15" xfId="0" applyNumberFormat="1" applyFont="1" applyBorder="1"/>
    <xf numFmtId="4" fontId="52" fillId="0" borderId="13" xfId="0" applyNumberFormat="1" applyFont="1" applyBorder="1"/>
    <xf numFmtId="4" fontId="51" fillId="6" borderId="15" xfId="0" applyNumberFormat="1" applyFont="1" applyFill="1" applyBorder="1"/>
    <xf numFmtId="0" fontId="2" fillId="33" borderId="1" xfId="0" applyFont="1" applyFill="1" applyBorder="1" applyAlignment="1">
      <alignment horizontal="center" vertical="center" wrapText="1"/>
    </xf>
    <xf numFmtId="4" fontId="53" fillId="33" borderId="15" xfId="0" applyNumberFormat="1" applyFont="1" applyFill="1" applyBorder="1"/>
    <xf numFmtId="4" fontId="2" fillId="33" borderId="1" xfId="0" applyNumberFormat="1" applyFont="1" applyFill="1" applyBorder="1" applyAlignment="1">
      <alignment horizontal="right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4" fontId="7" fillId="7" borderId="13" xfId="0" applyNumberFormat="1" applyFont="1" applyFill="1" applyBorder="1"/>
    <xf numFmtId="4" fontId="51" fillId="7" borderId="15" xfId="0" applyNumberFormat="1" applyFont="1" applyFill="1" applyBorder="1"/>
    <xf numFmtId="4" fontId="0" fillId="7" borderId="1" xfId="0" applyNumberFormat="1" applyFont="1" applyFill="1" applyBorder="1" applyAlignment="1">
      <alignment horizontal="right" vertical="center" wrapText="1"/>
    </xf>
    <xf numFmtId="4" fontId="7" fillId="0" borderId="13" xfId="0" applyNumberFormat="1" applyFont="1" applyFill="1" applyBorder="1"/>
    <xf numFmtId="4" fontId="2" fillId="32" borderId="1" xfId="0" applyNumberFormat="1" applyFont="1" applyFill="1" applyBorder="1" applyAlignment="1">
      <alignment horizontal="right" vertical="center" wrapText="1"/>
    </xf>
    <xf numFmtId="166" fontId="8" fillId="32" borderId="1" xfId="3" applyFont="1" applyFill="1" applyBorder="1" applyAlignment="1">
      <alignment horizontal="center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0" fillId="32" borderId="28" xfId="0" applyFont="1" applyFill="1" applyBorder="1" applyAlignment="1">
      <alignment horizontal="center" vertical="center" wrapText="1"/>
    </xf>
    <xf numFmtId="0" fontId="49" fillId="0" borderId="32" xfId="0" applyFont="1" applyBorder="1" applyAlignment="1">
      <alignment horizontal="center" vertical="center" wrapText="1"/>
    </xf>
    <xf numFmtId="0" fontId="49" fillId="7" borderId="29" xfId="0" applyFont="1" applyFill="1" applyBorder="1" applyAlignment="1">
      <alignment horizontal="center" vertical="center" wrapText="1"/>
    </xf>
    <xf numFmtId="0" fontId="49" fillId="7" borderId="30" xfId="0" applyFont="1" applyFill="1" applyBorder="1" applyAlignment="1">
      <alignment horizontal="center" vertical="center" wrapText="1"/>
    </xf>
    <xf numFmtId="0" fontId="49" fillId="7" borderId="31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2" fillId="32" borderId="5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horizontal="center" wrapText="1"/>
    </xf>
    <xf numFmtId="0" fontId="45" fillId="0" borderId="39" xfId="0" applyFont="1" applyBorder="1" applyAlignment="1">
      <alignment horizontal="center" wrapText="1"/>
    </xf>
    <xf numFmtId="174" fontId="45" fillId="7" borderId="33" xfId="0" applyNumberFormat="1" applyFont="1" applyFill="1" applyBorder="1" applyAlignment="1">
      <alignment horizontal="center"/>
    </xf>
    <xf numFmtId="174" fontId="45" fillId="7" borderId="34" xfId="0" applyNumberFormat="1" applyFont="1" applyFill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6" xfId="49" applyFont="1" applyBorder="1" applyAlignment="1">
      <alignment horizontal="center"/>
    </xf>
    <xf numFmtId="0" fontId="45" fillId="0" borderId="37" xfId="49" applyFont="1" applyBorder="1" applyAlignment="1">
      <alignment horizontal="center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1" xfId="3" applyFont="1" applyFill="1" applyBorder="1" applyAlignment="1">
      <alignment horizontal="center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6"/>
  <sheetViews>
    <sheetView zoomScaleNormal="100" workbookViewId="0">
      <pane xSplit="2" ySplit="2" topLeftCell="U3" activePane="bottomRight" state="frozen"/>
      <selection pane="topRight" activeCell="C1" sqref="C1"/>
      <selection pane="bottomLeft" activeCell="A2" sqref="A2"/>
      <selection pane="bottomRight" activeCell="B66" sqref="B66"/>
    </sheetView>
  </sheetViews>
  <sheetFormatPr defaultRowHeight="15" x14ac:dyDescent="0.25"/>
  <cols>
    <col min="1" max="1" width="13.7109375" style="146" customWidth="1"/>
    <col min="2" max="2" width="78.85546875" style="146" bestFit="1" customWidth="1"/>
    <col min="3" max="3" width="15.5703125" style="184" customWidth="1"/>
    <col min="4" max="4" width="15.28515625" style="184" customWidth="1"/>
    <col min="5" max="5" width="14.7109375" style="184" bestFit="1" customWidth="1"/>
    <col min="6" max="6" width="14.28515625" style="184" bestFit="1" customWidth="1"/>
    <col min="7" max="8" width="16.28515625" style="184" customWidth="1"/>
    <col min="9" max="9" width="15" style="184" customWidth="1"/>
    <col min="10" max="10" width="13.7109375" style="184" customWidth="1"/>
    <col min="11" max="11" width="15.85546875" style="184" customWidth="1"/>
    <col min="12" max="12" width="14.5703125" style="184" customWidth="1"/>
    <col min="13" max="13" width="15.140625" style="184" customWidth="1"/>
    <col min="14" max="14" width="13.7109375" style="184" customWidth="1"/>
    <col min="15" max="15" width="17" style="184" customWidth="1"/>
    <col min="16" max="16" width="15.85546875" style="184" customWidth="1"/>
    <col min="17" max="17" width="16.140625" style="184" customWidth="1"/>
    <col min="18" max="18" width="16.28515625" style="184" customWidth="1"/>
    <col min="19" max="19" width="15.42578125" style="184" customWidth="1"/>
    <col min="20" max="20" width="16" style="184" customWidth="1"/>
    <col min="21" max="21" width="14.85546875" style="184" customWidth="1"/>
    <col min="22" max="22" width="17" style="184" customWidth="1"/>
    <col min="23" max="23" width="14.28515625" style="184" bestFit="1" customWidth="1"/>
    <col min="24" max="25" width="13.7109375" style="184" customWidth="1"/>
    <col min="26" max="26" width="14.140625" style="184" customWidth="1"/>
    <col min="27" max="27" width="15.85546875" style="184" customWidth="1"/>
    <col min="28" max="28" width="15.42578125" style="146" bestFit="1" customWidth="1"/>
    <col min="29" max="29" width="11.7109375" style="146" bestFit="1" customWidth="1"/>
    <col min="30" max="39" width="9.140625" style="146"/>
    <col min="40" max="40" width="16.85546875" style="146" customWidth="1"/>
    <col min="41" max="16384" width="9.140625" style="146"/>
  </cols>
  <sheetData>
    <row r="1" spans="1:29" ht="19.899999999999999" customHeight="1" x14ac:dyDescent="0.25">
      <c r="A1" s="249" t="s">
        <v>327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</row>
    <row r="2" spans="1:29" ht="24" customHeight="1" x14ac:dyDescent="0.25">
      <c r="A2" s="151" t="s">
        <v>443</v>
      </c>
      <c r="B2" s="152" t="s">
        <v>200</v>
      </c>
      <c r="C2" s="152" t="s">
        <v>2</v>
      </c>
      <c r="D2" s="152" t="s">
        <v>3</v>
      </c>
      <c r="E2" s="152" t="s">
        <v>4</v>
      </c>
      <c r="F2" s="152" t="s">
        <v>5</v>
      </c>
      <c r="G2" s="152" t="s">
        <v>6</v>
      </c>
      <c r="H2" s="152" t="s">
        <v>22</v>
      </c>
      <c r="I2" s="152" t="s">
        <v>7</v>
      </c>
      <c r="J2" s="152" t="s">
        <v>8</v>
      </c>
      <c r="K2" s="152" t="s">
        <v>9</v>
      </c>
      <c r="L2" s="152" t="s">
        <v>10</v>
      </c>
      <c r="M2" s="152" t="s">
        <v>11</v>
      </c>
      <c r="N2" s="152" t="s">
        <v>12</v>
      </c>
      <c r="O2" s="153" t="s">
        <v>13</v>
      </c>
      <c r="P2" s="152" t="s">
        <v>14</v>
      </c>
      <c r="Q2" s="152" t="s">
        <v>15</v>
      </c>
      <c r="R2" s="152" t="s">
        <v>16</v>
      </c>
      <c r="S2" s="152" t="s">
        <v>17</v>
      </c>
      <c r="T2" s="152" t="s">
        <v>18</v>
      </c>
      <c r="U2" s="152" t="s">
        <v>19</v>
      </c>
      <c r="V2" s="152" t="s">
        <v>20</v>
      </c>
      <c r="W2" s="152" t="s">
        <v>21</v>
      </c>
      <c r="X2" s="152" t="s">
        <v>23</v>
      </c>
      <c r="Y2" s="152" t="s">
        <v>24</v>
      </c>
      <c r="Z2" s="152" t="s">
        <v>25</v>
      </c>
      <c r="AA2" s="152" t="s">
        <v>326</v>
      </c>
      <c r="AB2" s="152" t="s">
        <v>26</v>
      </c>
    </row>
    <row r="3" spans="1:29" x14ac:dyDescent="0.25">
      <c r="A3" s="154">
        <v>71</v>
      </c>
      <c r="B3" s="155" t="s">
        <v>201</v>
      </c>
      <c r="C3" s="156">
        <f>C4+C9+C13+C33</f>
        <v>1027161.25</v>
      </c>
      <c r="D3" s="156">
        <f>D4+D9+D13+D33</f>
        <v>24136365.91</v>
      </c>
      <c r="E3" s="156">
        <f>E4+E9+E13+E33</f>
        <v>2300032.85</v>
      </c>
      <c r="F3" s="156">
        <f t="shared" ref="F3:W3" si="0">F4+F9+F13+F33</f>
        <v>8567230.379999999</v>
      </c>
      <c r="G3" s="156">
        <f>G4+G9+G13+G33</f>
        <v>37870393.719999999</v>
      </c>
      <c r="H3" s="156">
        <f t="shared" ref="H3" si="1">H4+H9+H13+H33</f>
        <v>4461416.9999999991</v>
      </c>
      <c r="I3" s="156">
        <f t="shared" ref="I3:N3" si="2">I4+I9+I13+I33</f>
        <v>3367361.66</v>
      </c>
      <c r="J3" s="156">
        <f t="shared" si="2"/>
        <v>461303.47</v>
      </c>
      <c r="K3" s="156">
        <f t="shared" si="2"/>
        <v>22579782.18</v>
      </c>
      <c r="L3" s="156">
        <f t="shared" si="2"/>
        <v>3005649.0999999996</v>
      </c>
      <c r="M3" s="156">
        <f t="shared" si="2"/>
        <v>21619564.110000003</v>
      </c>
      <c r="N3" s="156">
        <f t="shared" si="2"/>
        <v>1847455.9800000002</v>
      </c>
      <c r="O3" s="156">
        <f t="shared" si="0"/>
        <v>15050233.75</v>
      </c>
      <c r="P3" s="156">
        <f>P4+P9+P13+P33</f>
        <v>352026.25000000006</v>
      </c>
      <c r="Q3" s="156">
        <f t="shared" si="0"/>
        <v>1622886.85</v>
      </c>
      <c r="R3" s="156">
        <f>R4+R9+R13+R33</f>
        <v>171734.9</v>
      </c>
      <c r="S3" s="156">
        <f>S4+S9+S13+S33</f>
        <v>10945296.620000001</v>
      </c>
      <c r="T3" s="156">
        <f>T4+T9+T13+T33</f>
        <v>82193586.230000004</v>
      </c>
      <c r="U3" s="156">
        <f>U4+U9+U13+U33</f>
        <v>3450526.27</v>
      </c>
      <c r="V3" s="156">
        <f>V4+V9+V13+V33</f>
        <v>16457657.979999999</v>
      </c>
      <c r="W3" s="156">
        <f t="shared" si="0"/>
        <v>8095177.1899999995</v>
      </c>
      <c r="X3" s="156">
        <f>X4+X9+X13+X33</f>
        <v>2042528.02</v>
      </c>
      <c r="Y3" s="157">
        <f>Y4+Y9+Y13+Y33</f>
        <v>623633.39999999991</v>
      </c>
      <c r="Z3" s="157">
        <f>SUM(Z4,Z9,Z13,Z33)</f>
        <v>2284683.38</v>
      </c>
      <c r="AA3" s="158">
        <f>SUM(AA4+AA9+AA13+AA33)</f>
        <v>1525577.74</v>
      </c>
      <c r="AB3" s="156">
        <f>AB4+AB9+AB13+AB33</f>
        <v>276059266.19000006</v>
      </c>
      <c r="AC3" s="149"/>
    </row>
    <row r="4" spans="1:29" x14ac:dyDescent="0.25">
      <c r="A4" s="159">
        <v>711</v>
      </c>
      <c r="B4" s="160" t="s">
        <v>202</v>
      </c>
      <c r="C4" s="161">
        <f t="shared" ref="C4:E4" si="3">SUM(C5:C8)</f>
        <v>625062.1399999999</v>
      </c>
      <c r="D4" s="161">
        <f t="shared" si="3"/>
        <v>14614330.050000001</v>
      </c>
      <c r="E4" s="161">
        <f t="shared" si="3"/>
        <v>2056153.8000000003</v>
      </c>
      <c r="F4" s="161">
        <f t="shared" ref="F4:AB4" si="4">SUM(F5:F8)</f>
        <v>7351007.6899999995</v>
      </c>
      <c r="G4" s="161">
        <f t="shared" ref="G4" si="5">SUM(G5:G8)</f>
        <v>30591738.350000001</v>
      </c>
      <c r="H4" s="161">
        <f t="shared" ref="H4" si="6">SUM(H5:H8)</f>
        <v>3182785.3899999997</v>
      </c>
      <c r="I4" s="161">
        <f t="shared" ref="I4" si="7">SUM(I5:I8)</f>
        <v>2787741.89</v>
      </c>
      <c r="J4" s="161">
        <f t="shared" ref="J4" si="8">SUM(J5:J8)</f>
        <v>267374.09999999998</v>
      </c>
      <c r="K4" s="161">
        <f t="shared" ref="K4:L4" si="9">SUM(K5:K8)</f>
        <v>18375983.75</v>
      </c>
      <c r="L4" s="161">
        <f t="shared" si="9"/>
        <v>1921325.8299999996</v>
      </c>
      <c r="M4" s="161">
        <f t="shared" ref="M4" si="10">SUM(M5:M8)</f>
        <v>13237567.890000001</v>
      </c>
      <c r="N4" s="161">
        <f t="shared" ref="N4" si="11">SUM(N5:N8)</f>
        <v>1649527.7000000002</v>
      </c>
      <c r="O4" s="161">
        <f t="shared" si="4"/>
        <v>12153904.390000001</v>
      </c>
      <c r="P4" s="161">
        <f>SUM(P5:P8)</f>
        <v>259443.61</v>
      </c>
      <c r="Q4" s="161">
        <f t="shared" si="4"/>
        <v>1192724.4600000002</v>
      </c>
      <c r="R4" s="161">
        <f t="shared" ref="R4" si="12">SUM(R5:R8)</f>
        <v>81471.61</v>
      </c>
      <c r="S4" s="161">
        <f>SUM(S5:S8)</f>
        <v>6546306.0300000003</v>
      </c>
      <c r="T4" s="161">
        <f t="shared" ref="T4:V4" si="13">SUM(T5:T8)</f>
        <v>55541788.950000003</v>
      </c>
      <c r="U4" s="161">
        <f t="shared" si="13"/>
        <v>2385121.62</v>
      </c>
      <c r="V4" s="161">
        <f t="shared" si="13"/>
        <v>13980074.379999999</v>
      </c>
      <c r="W4" s="161">
        <f t="shared" si="4"/>
        <v>5305945.8499999996</v>
      </c>
      <c r="X4" s="161">
        <f t="shared" ref="X4" si="14">SUM(X5:X8)</f>
        <v>1440018.75</v>
      </c>
      <c r="Y4" s="161">
        <f>SUM(Y5:Y8)</f>
        <v>580207.96</v>
      </c>
      <c r="Z4" s="161">
        <v>1924842.63</v>
      </c>
      <c r="AA4" s="162">
        <f>SUM(AA5:AA8)</f>
        <v>1349412.41</v>
      </c>
      <c r="AB4" s="161">
        <f t="shared" si="4"/>
        <v>199401861.23000002</v>
      </c>
      <c r="AC4" s="149"/>
    </row>
    <row r="5" spans="1:29" x14ac:dyDescent="0.25">
      <c r="A5" s="163" t="s">
        <v>203</v>
      </c>
      <c r="B5" s="164" t="s">
        <v>204</v>
      </c>
      <c r="C5" s="165">
        <v>466399.26</v>
      </c>
      <c r="D5" s="165">
        <v>4070141.83</v>
      </c>
      <c r="E5" s="165">
        <v>1639676.83</v>
      </c>
      <c r="F5" s="165">
        <v>5852935.6299999999</v>
      </c>
      <c r="G5" s="165">
        <v>6017650.5499999998</v>
      </c>
      <c r="H5" s="165">
        <v>1844068.24</v>
      </c>
      <c r="I5" s="165">
        <v>1470286.32</v>
      </c>
      <c r="J5" s="165">
        <v>109331.36</v>
      </c>
      <c r="K5" s="165">
        <v>3999471.89</v>
      </c>
      <c r="L5" s="165">
        <v>1301260.6299999999</v>
      </c>
      <c r="M5" s="165">
        <v>3492172.3100000005</v>
      </c>
      <c r="N5" s="165">
        <v>1371507.2</v>
      </c>
      <c r="O5" s="165">
        <v>6733925.04</v>
      </c>
      <c r="P5" s="165">
        <v>150606.99</v>
      </c>
      <c r="Q5" s="165">
        <v>798371.02</v>
      </c>
      <c r="R5" s="166">
        <v>68300.460000000006</v>
      </c>
      <c r="S5" s="165">
        <v>4736477.9000000004</v>
      </c>
      <c r="T5" s="165">
        <v>29684480.48</v>
      </c>
      <c r="U5" s="165">
        <v>2027567.17</v>
      </c>
      <c r="V5" s="165">
        <v>3447413.84</v>
      </c>
      <c r="W5" s="165">
        <v>1386349.76</v>
      </c>
      <c r="X5" s="165">
        <v>598399.66</v>
      </c>
      <c r="Y5" s="165">
        <v>286592.74</v>
      </c>
      <c r="Z5" s="165">
        <v>1341952.97</v>
      </c>
      <c r="AA5" s="167">
        <v>897342.52</v>
      </c>
      <c r="AB5" s="165">
        <f>SUM(C5:AA5)</f>
        <v>83792682.600000009</v>
      </c>
      <c r="AC5" s="149"/>
    </row>
    <row r="6" spans="1:29" x14ac:dyDescent="0.25">
      <c r="A6" s="163">
        <v>71131</v>
      </c>
      <c r="B6" s="164" t="s">
        <v>205</v>
      </c>
      <c r="C6" s="165">
        <v>114125.18</v>
      </c>
      <c r="D6" s="165">
        <v>7355789.3099999996</v>
      </c>
      <c r="E6" s="165">
        <v>269045.83</v>
      </c>
      <c r="F6" s="165">
        <v>748975.05999999994</v>
      </c>
      <c r="G6" s="165">
        <v>18262886.77</v>
      </c>
      <c r="H6" s="165">
        <v>686499.43</v>
      </c>
      <c r="I6" s="165">
        <v>515761.03</v>
      </c>
      <c r="J6" s="165">
        <v>117628.86</v>
      </c>
      <c r="K6" s="165">
        <v>10271148.390000001</v>
      </c>
      <c r="L6" s="165">
        <v>402186.15</v>
      </c>
      <c r="M6" s="165">
        <v>6610602.71</v>
      </c>
      <c r="N6" s="165">
        <v>169019.56</v>
      </c>
      <c r="O6" s="165">
        <v>3593833.51</v>
      </c>
      <c r="P6" s="165">
        <v>70710.47</v>
      </c>
      <c r="Q6" s="165">
        <v>240519.32</v>
      </c>
      <c r="R6" s="166">
        <v>7647.17</v>
      </c>
      <c r="S6" s="165">
        <v>1241010.8600000001</v>
      </c>
      <c r="T6" s="165">
        <v>10538814.1</v>
      </c>
      <c r="U6" s="165">
        <v>149208.35</v>
      </c>
      <c r="V6" s="165">
        <v>6715708.7599999998</v>
      </c>
      <c r="W6" s="165">
        <v>2632822.38</v>
      </c>
      <c r="X6" s="165">
        <v>487969.61</v>
      </c>
      <c r="Y6" s="165">
        <v>266607.51</v>
      </c>
      <c r="Z6" s="165">
        <v>253204.92</v>
      </c>
      <c r="AA6" s="168">
        <v>220970.28</v>
      </c>
      <c r="AB6" s="165">
        <f>SUM(C6:AA6)</f>
        <v>71942695.520000011</v>
      </c>
      <c r="AC6" s="149"/>
    </row>
    <row r="7" spans="1:29" x14ac:dyDescent="0.25">
      <c r="A7" s="163">
        <v>71132</v>
      </c>
      <c r="B7" s="164" t="s">
        <v>206</v>
      </c>
      <c r="C7" s="165">
        <v>13720.51</v>
      </c>
      <c r="D7" s="165">
        <v>2222931.2999999998</v>
      </c>
      <c r="E7" s="165">
        <v>26717.03</v>
      </c>
      <c r="F7" s="165">
        <v>339736.29</v>
      </c>
      <c r="G7" s="165">
        <v>4765021.3499999996</v>
      </c>
      <c r="H7" s="165">
        <v>400710.40000000002</v>
      </c>
      <c r="I7" s="165">
        <v>482859</v>
      </c>
      <c r="J7" s="165">
        <v>28756.59</v>
      </c>
      <c r="K7" s="165">
        <v>2952049.27</v>
      </c>
      <c r="L7" s="165">
        <v>105403.64</v>
      </c>
      <c r="M7" s="165">
        <v>2294497.58</v>
      </c>
      <c r="N7" s="165">
        <v>16143.57</v>
      </c>
      <c r="O7" s="165">
        <v>435198.6</v>
      </c>
      <c r="P7" s="165">
        <v>27788.04</v>
      </c>
      <c r="Q7" s="165">
        <v>89730.25</v>
      </c>
      <c r="R7" s="166">
        <v>190.62</v>
      </c>
      <c r="S7" s="165">
        <v>55520.14</v>
      </c>
      <c r="T7" s="165">
        <v>3655961.09</v>
      </c>
      <c r="U7" s="165">
        <v>77469.179999999993</v>
      </c>
      <c r="V7" s="165">
        <v>2649125.19</v>
      </c>
      <c r="W7" s="165">
        <v>1107318.48</v>
      </c>
      <c r="X7" s="165">
        <v>306432.78999999998</v>
      </c>
      <c r="Y7" s="165">
        <v>604.62</v>
      </c>
      <c r="Z7" s="165">
        <v>172504.77</v>
      </c>
      <c r="AA7" s="169">
        <v>99821.91</v>
      </c>
      <c r="AB7" s="165">
        <f>SUM(C7:AA7)</f>
        <v>22326212.209999997</v>
      </c>
      <c r="AC7" s="149"/>
    </row>
    <row r="8" spans="1:29" x14ac:dyDescent="0.25">
      <c r="A8" s="163" t="s">
        <v>207</v>
      </c>
      <c r="B8" s="164" t="s">
        <v>208</v>
      </c>
      <c r="C8" s="165">
        <v>30817.19</v>
      </c>
      <c r="D8" s="165">
        <v>965467.61</v>
      </c>
      <c r="E8" s="165">
        <v>120714.11</v>
      </c>
      <c r="F8" s="165">
        <v>409360.71</v>
      </c>
      <c r="G8" s="165">
        <v>1546179.68</v>
      </c>
      <c r="H8" s="165">
        <v>251507.32</v>
      </c>
      <c r="I8" s="165">
        <v>318835.53999999998</v>
      </c>
      <c r="J8" s="165">
        <v>11657.29</v>
      </c>
      <c r="K8" s="165">
        <v>1153314.2</v>
      </c>
      <c r="L8" s="165">
        <v>112475.41</v>
      </c>
      <c r="M8" s="165">
        <v>840295.29</v>
      </c>
      <c r="N8" s="165">
        <v>92857.37</v>
      </c>
      <c r="O8" s="165">
        <v>1390947.24</v>
      </c>
      <c r="P8" s="165">
        <v>10338.11</v>
      </c>
      <c r="Q8" s="165">
        <v>64103.87</v>
      </c>
      <c r="R8" s="166">
        <v>5333.36</v>
      </c>
      <c r="S8" s="165">
        <v>513297.13</v>
      </c>
      <c r="T8" s="165">
        <v>11662533.279999999</v>
      </c>
      <c r="U8" s="165">
        <v>130876.92</v>
      </c>
      <c r="V8" s="165">
        <v>1167826.5900000001</v>
      </c>
      <c r="W8" s="165">
        <v>179455.23</v>
      </c>
      <c r="X8" s="165">
        <v>47216.69</v>
      </c>
      <c r="Y8" s="165">
        <v>26403.09</v>
      </c>
      <c r="Z8" s="165">
        <v>157179.97</v>
      </c>
      <c r="AA8" s="167">
        <v>131277.70000000001</v>
      </c>
      <c r="AB8" s="165">
        <f>SUM(C8:AA8)</f>
        <v>21340270.900000002</v>
      </c>
      <c r="AC8" s="149"/>
    </row>
    <row r="9" spans="1:29" x14ac:dyDescent="0.25">
      <c r="A9" s="159">
        <v>713</v>
      </c>
      <c r="B9" s="160" t="s">
        <v>123</v>
      </c>
      <c r="C9" s="161">
        <f t="shared" ref="C9:E9" si="15">SUM(C10:C12)</f>
        <v>7237.5</v>
      </c>
      <c r="D9" s="161">
        <f t="shared" si="15"/>
        <v>648768.37</v>
      </c>
      <c r="E9" s="161">
        <f t="shared" si="15"/>
        <v>26111.15</v>
      </c>
      <c r="F9" s="161">
        <f t="shared" ref="F9:AB9" si="16">SUM(F10:F12)</f>
        <v>67722.51999999999</v>
      </c>
      <c r="G9" s="161">
        <f t="shared" si="16"/>
        <v>596153.03</v>
      </c>
      <c r="H9" s="161">
        <f t="shared" si="16"/>
        <v>52454.92</v>
      </c>
      <c r="I9" s="161">
        <f t="shared" si="16"/>
        <v>17111.599999999999</v>
      </c>
      <c r="J9" s="161">
        <f t="shared" si="16"/>
        <v>12314.560000000001</v>
      </c>
      <c r="K9" s="161">
        <f t="shared" si="16"/>
        <v>530577.64</v>
      </c>
      <c r="L9" s="161">
        <f t="shared" si="16"/>
        <v>23088.58</v>
      </c>
      <c r="M9" s="161">
        <f t="shared" ref="M9:N9" si="17">SUM(M10:M12)</f>
        <v>256233.63</v>
      </c>
      <c r="N9" s="161">
        <f t="shared" si="17"/>
        <v>8523.1</v>
      </c>
      <c r="O9" s="161">
        <f t="shared" si="16"/>
        <v>70047.459999999992</v>
      </c>
      <c r="P9" s="161">
        <f t="shared" si="16"/>
        <v>4109.5200000000004</v>
      </c>
      <c r="Q9" s="161">
        <f t="shared" si="16"/>
        <v>11889.47</v>
      </c>
      <c r="R9" s="161">
        <f t="shared" si="16"/>
        <v>394</v>
      </c>
      <c r="S9" s="161">
        <f>SUM(S10:S12)</f>
        <v>67129.37</v>
      </c>
      <c r="T9" s="161">
        <f t="shared" ref="T9:V9" si="18">SUM(T10:T12)</f>
        <v>1098404.8600000001</v>
      </c>
      <c r="U9" s="161">
        <f t="shared" si="18"/>
        <v>38520.020000000004</v>
      </c>
      <c r="V9" s="161">
        <f t="shared" si="18"/>
        <v>247464.59999999998</v>
      </c>
      <c r="W9" s="161">
        <f t="shared" si="16"/>
        <v>232365.52000000002</v>
      </c>
      <c r="X9" s="161">
        <f t="shared" si="16"/>
        <v>40942.67</v>
      </c>
      <c r="Y9" s="161">
        <f t="shared" si="16"/>
        <v>3622.5</v>
      </c>
      <c r="Z9" s="161">
        <v>17281.259999999998</v>
      </c>
      <c r="AA9" s="162">
        <f>SUM(AA10:AA12)</f>
        <v>90213.98</v>
      </c>
      <c r="AB9" s="161">
        <f t="shared" si="16"/>
        <v>4168681.8299999996</v>
      </c>
      <c r="AC9" s="149"/>
    </row>
    <row r="10" spans="1:29" x14ac:dyDescent="0.25">
      <c r="A10" s="163" t="s">
        <v>209</v>
      </c>
      <c r="B10" s="164" t="s">
        <v>210</v>
      </c>
      <c r="C10" s="165">
        <v>1897.5</v>
      </c>
      <c r="D10" s="165">
        <v>49681.79</v>
      </c>
      <c r="E10" s="165">
        <v>8322.2000000000007</v>
      </c>
      <c r="F10" s="165">
        <v>44128.869999999995</v>
      </c>
      <c r="G10" s="165">
        <v>79728.66</v>
      </c>
      <c r="H10" s="165">
        <v>8608.4500000000007</v>
      </c>
      <c r="I10" s="165">
        <v>8295.64</v>
      </c>
      <c r="J10" s="165">
        <v>2429.29</v>
      </c>
      <c r="K10" s="165">
        <v>139523.04</v>
      </c>
      <c r="L10" s="165">
        <v>13611.15</v>
      </c>
      <c r="M10" s="165">
        <v>74305.710000000006</v>
      </c>
      <c r="N10" s="165">
        <v>2843.8</v>
      </c>
      <c r="O10" s="165">
        <v>54414.64</v>
      </c>
      <c r="P10" s="165">
        <v>4109.5200000000004</v>
      </c>
      <c r="Q10" s="165">
        <v>8020.98</v>
      </c>
      <c r="R10" s="170">
        <v>394</v>
      </c>
      <c r="S10" s="165">
        <v>36938.5</v>
      </c>
      <c r="T10" s="165">
        <v>246382.07</v>
      </c>
      <c r="U10" s="165">
        <v>19096.48</v>
      </c>
      <c r="V10" s="165">
        <v>18888.84</v>
      </c>
      <c r="W10" s="165">
        <v>47951.42</v>
      </c>
      <c r="X10" s="165">
        <v>10729.78</v>
      </c>
      <c r="Y10" s="165">
        <v>588.6</v>
      </c>
      <c r="Z10" s="165">
        <v>14627.35</v>
      </c>
      <c r="AA10" s="169">
        <v>6388.33</v>
      </c>
      <c r="AB10" s="165">
        <f>SUM(C10:AA10)</f>
        <v>901906.61</v>
      </c>
      <c r="AC10" s="149"/>
    </row>
    <row r="11" spans="1:29" x14ac:dyDescent="0.25">
      <c r="A11" s="163" t="s">
        <v>211</v>
      </c>
      <c r="B11" s="164" t="s">
        <v>212</v>
      </c>
      <c r="C11" s="165">
        <v>5340</v>
      </c>
      <c r="D11" s="165">
        <v>250468.31</v>
      </c>
      <c r="E11" s="165">
        <v>17788.95</v>
      </c>
      <c r="F11" s="165">
        <v>23593.649999999998</v>
      </c>
      <c r="G11" s="165">
        <v>82436.259999999995</v>
      </c>
      <c r="H11" s="165">
        <v>43846.47</v>
      </c>
      <c r="I11" s="165">
        <v>8815.9599999999991</v>
      </c>
      <c r="J11" s="165">
        <v>6368.41</v>
      </c>
      <c r="K11" s="165">
        <v>391054.6</v>
      </c>
      <c r="L11" s="165">
        <v>9477.43</v>
      </c>
      <c r="M11" s="165">
        <v>52198.96</v>
      </c>
      <c r="N11" s="165">
        <v>5679.3</v>
      </c>
      <c r="O11" s="165">
        <v>15632.82</v>
      </c>
      <c r="P11" s="165">
        <v>0</v>
      </c>
      <c r="Q11" s="165">
        <v>3868.49</v>
      </c>
      <c r="R11" s="170">
        <v>0</v>
      </c>
      <c r="S11" s="165">
        <v>30190.87</v>
      </c>
      <c r="T11" s="165">
        <v>852022.79</v>
      </c>
      <c r="U11" s="165">
        <v>19423.54</v>
      </c>
      <c r="V11" s="165">
        <v>63138.18</v>
      </c>
      <c r="W11" s="165">
        <v>40033.160000000003</v>
      </c>
      <c r="X11" s="165">
        <v>6606.4</v>
      </c>
      <c r="Y11" s="165">
        <v>3033.9</v>
      </c>
      <c r="Z11" s="165">
        <v>2653.91</v>
      </c>
      <c r="AA11" s="169">
        <v>83825.649999999994</v>
      </c>
      <c r="AB11" s="165">
        <f>SUM(C11:AA11)</f>
        <v>2017498.0099999995</v>
      </c>
      <c r="AC11" s="149"/>
    </row>
    <row r="12" spans="1:29" x14ac:dyDescent="0.25">
      <c r="A12" s="171">
        <v>7136</v>
      </c>
      <c r="B12" s="164" t="s">
        <v>213</v>
      </c>
      <c r="C12" s="165"/>
      <c r="D12" s="165">
        <v>348618.27</v>
      </c>
      <c r="E12" s="165">
        <v>0</v>
      </c>
      <c r="F12" s="165">
        <v>0</v>
      </c>
      <c r="G12" s="165">
        <v>433988.11</v>
      </c>
      <c r="H12" s="165">
        <v>0</v>
      </c>
      <c r="I12" s="165"/>
      <c r="J12" s="165">
        <v>3516.86</v>
      </c>
      <c r="K12" s="165">
        <v>0</v>
      </c>
      <c r="L12" s="165">
        <v>0</v>
      </c>
      <c r="M12" s="165">
        <v>129728.96000000001</v>
      </c>
      <c r="N12" s="165">
        <v>0</v>
      </c>
      <c r="O12" s="165">
        <v>0</v>
      </c>
      <c r="P12" s="165">
        <v>0</v>
      </c>
      <c r="Q12" s="165">
        <v>0</v>
      </c>
      <c r="R12" s="170">
        <v>0</v>
      </c>
      <c r="S12" s="165">
        <v>0</v>
      </c>
      <c r="T12" s="165">
        <v>0</v>
      </c>
      <c r="U12" s="165"/>
      <c r="V12" s="165">
        <v>165437.57999999999</v>
      </c>
      <c r="W12" s="165">
        <v>144380.94</v>
      </c>
      <c r="X12" s="165">
        <v>23606.49</v>
      </c>
      <c r="Y12" s="165"/>
      <c r="Z12" s="165">
        <v>0</v>
      </c>
      <c r="AA12" s="169">
        <v>0</v>
      </c>
      <c r="AB12" s="165">
        <f>SUM(C12:AA12)</f>
        <v>1249277.21</v>
      </c>
      <c r="AC12" s="149"/>
    </row>
    <row r="13" spans="1:29" x14ac:dyDescent="0.25">
      <c r="A13" s="159">
        <v>714</v>
      </c>
      <c r="B13" s="160" t="s">
        <v>214</v>
      </c>
      <c r="C13" s="161">
        <f>+C14+C19+C25+C26+C27+C28+C29+C30+C31+C32</f>
        <v>377490.85000000003</v>
      </c>
      <c r="D13" s="161">
        <f t="shared" ref="D13:AA13" si="19">+D14+D19+D25+D26+D27+D28+D29+D30+D31+D32</f>
        <v>8213334.8499999996</v>
      </c>
      <c r="E13" s="161">
        <f t="shared" si="19"/>
        <v>159866.37</v>
      </c>
      <c r="F13" s="161">
        <f t="shared" si="19"/>
        <v>1082523.26</v>
      </c>
      <c r="G13" s="161">
        <f t="shared" si="19"/>
        <v>4332789.75</v>
      </c>
      <c r="H13" s="161">
        <f t="shared" si="19"/>
        <v>399107.05</v>
      </c>
      <c r="I13" s="161">
        <f t="shared" si="19"/>
        <v>430728.18</v>
      </c>
      <c r="J13" s="161">
        <f t="shared" si="19"/>
        <v>22345.68</v>
      </c>
      <c r="K13" s="161">
        <f t="shared" si="19"/>
        <v>3195326.83</v>
      </c>
      <c r="L13" s="161">
        <f t="shared" si="19"/>
        <v>1037246.7099999998</v>
      </c>
      <c r="M13" s="161">
        <f t="shared" si="19"/>
        <v>4770096.040000001</v>
      </c>
      <c r="N13" s="161">
        <f t="shared" si="19"/>
        <v>131403.91</v>
      </c>
      <c r="O13" s="161">
        <f t="shared" si="19"/>
        <v>2268829.6999999997</v>
      </c>
      <c r="P13" s="161">
        <f t="shared" si="19"/>
        <v>87602.290000000008</v>
      </c>
      <c r="Q13" s="161">
        <f t="shared" si="19"/>
        <v>401805.54000000004</v>
      </c>
      <c r="R13" s="161">
        <f t="shared" si="19"/>
        <v>82202.099999999991</v>
      </c>
      <c r="S13" s="161">
        <f t="shared" si="19"/>
        <v>4236993.99</v>
      </c>
      <c r="T13" s="161">
        <f t="shared" si="19"/>
        <v>23160445.34</v>
      </c>
      <c r="U13" s="161">
        <f t="shared" si="19"/>
        <v>991173.34</v>
      </c>
      <c r="V13" s="161">
        <f t="shared" si="19"/>
        <v>1739312.8399999999</v>
      </c>
      <c r="W13" s="161">
        <f t="shared" si="19"/>
        <v>2433414.5</v>
      </c>
      <c r="X13" s="161">
        <f t="shared" si="19"/>
        <v>515147.57999999996</v>
      </c>
      <c r="Y13" s="161">
        <f t="shared" si="19"/>
        <v>39252.86</v>
      </c>
      <c r="Z13" s="161">
        <f t="shared" si="19"/>
        <v>333468.34000000003</v>
      </c>
      <c r="AA13" s="161">
        <f t="shared" si="19"/>
        <v>60151.979999999996</v>
      </c>
      <c r="AB13" s="161">
        <f>+AB14+AB19+AB25+AB26+AB27+AB28+AB29+AB30+AB31+AB32</f>
        <v>60502059.879999995</v>
      </c>
      <c r="AC13" s="149"/>
    </row>
    <row r="14" spans="1:29" x14ac:dyDescent="0.25">
      <c r="A14" s="159">
        <v>7141</v>
      </c>
      <c r="B14" s="160" t="s">
        <v>215</v>
      </c>
      <c r="C14" s="161">
        <f t="shared" ref="C14:E14" si="20">+C15+C16+C17+C18</f>
        <v>232882.39</v>
      </c>
      <c r="D14" s="161">
        <f t="shared" si="20"/>
        <v>60310.01</v>
      </c>
      <c r="E14" s="161">
        <f t="shared" si="20"/>
        <v>15132.859999999999</v>
      </c>
      <c r="F14" s="161">
        <f t="shared" ref="F14:X14" si="21">+F15+F16+F17+F18</f>
        <v>17147.61</v>
      </c>
      <c r="G14" s="161">
        <f t="shared" si="21"/>
        <v>58106.52</v>
      </c>
      <c r="H14" s="161">
        <f t="shared" si="21"/>
        <v>1387.04</v>
      </c>
      <c r="I14" s="161">
        <f t="shared" si="21"/>
        <v>183851.09</v>
      </c>
      <c r="J14" s="161">
        <f t="shared" si="21"/>
        <v>1728.22</v>
      </c>
      <c r="K14" s="161">
        <v>54883.31</v>
      </c>
      <c r="L14" s="161">
        <f>+L15+L16+L17+L18</f>
        <v>165827.43</v>
      </c>
      <c r="M14" s="161">
        <f t="shared" ref="M14:N14" si="22">+M15+M16+M17+M18</f>
        <v>22098.09</v>
      </c>
      <c r="N14" s="161">
        <f t="shared" si="22"/>
        <v>30058.49</v>
      </c>
      <c r="O14" s="161">
        <f t="shared" si="21"/>
        <v>1025468.4500000001</v>
      </c>
      <c r="P14" s="161">
        <f t="shared" si="21"/>
        <v>621.15</v>
      </c>
      <c r="Q14" s="161">
        <f t="shared" si="21"/>
        <v>184491.92</v>
      </c>
      <c r="R14" s="161">
        <f t="shared" si="21"/>
        <v>75410.59</v>
      </c>
      <c r="S14" s="161">
        <f>+S15+S16+S17+S18</f>
        <v>105330.01999999999</v>
      </c>
      <c r="T14" s="161">
        <f t="shared" ref="T14:V14" si="23">+T15+T16+T17+T18</f>
        <v>183209.96</v>
      </c>
      <c r="U14" s="161">
        <f t="shared" si="23"/>
        <v>0</v>
      </c>
      <c r="V14" s="161">
        <f t="shared" si="23"/>
        <v>74835.47</v>
      </c>
      <c r="W14" s="161">
        <f t="shared" si="21"/>
        <v>36216.11</v>
      </c>
      <c r="X14" s="161">
        <f t="shared" si="21"/>
        <v>0</v>
      </c>
      <c r="Y14" s="161">
        <f>+Y15+Y16+Y17+Y18</f>
        <v>30945.920000000002</v>
      </c>
      <c r="Z14" s="161">
        <v>17269.22</v>
      </c>
      <c r="AA14" s="172">
        <f>SUM(AA15:AA18)</f>
        <v>32953.019999999997</v>
      </c>
      <c r="AB14" s="161">
        <f>+AB15+AB16+AB17+AB18</f>
        <v>2610164.89</v>
      </c>
      <c r="AC14" s="149"/>
    </row>
    <row r="15" spans="1:29" x14ac:dyDescent="0.25">
      <c r="A15" s="171" t="s">
        <v>216</v>
      </c>
      <c r="B15" s="164" t="s">
        <v>217</v>
      </c>
      <c r="C15" s="165">
        <v>232504.26</v>
      </c>
      <c r="D15" s="165">
        <v>37469.980000000003</v>
      </c>
      <c r="E15" s="165">
        <v>15131.46</v>
      </c>
      <c r="F15" s="165">
        <v>8326.7999999999993</v>
      </c>
      <c r="G15" s="165">
        <v>45508.46</v>
      </c>
      <c r="H15" s="165">
        <v>1387.04</v>
      </c>
      <c r="I15" s="165">
        <v>173175.33</v>
      </c>
      <c r="J15" s="165">
        <v>850.26</v>
      </c>
      <c r="K15" s="165">
        <v>7241.39</v>
      </c>
      <c r="L15" s="165">
        <v>164565.32999999999</v>
      </c>
      <c r="M15" s="165">
        <v>11029.53</v>
      </c>
      <c r="N15" s="165">
        <v>30058.49</v>
      </c>
      <c r="O15" s="165">
        <v>1000088.15</v>
      </c>
      <c r="P15" s="165">
        <v>621.15</v>
      </c>
      <c r="Q15" s="165">
        <v>172000.76</v>
      </c>
      <c r="R15" s="170">
        <v>75410.59</v>
      </c>
      <c r="S15" s="165">
        <v>49793.06</v>
      </c>
      <c r="T15" s="165">
        <v>81303.23</v>
      </c>
      <c r="U15" s="165"/>
      <c r="V15" s="165">
        <v>3539.03</v>
      </c>
      <c r="W15" s="165">
        <v>14810.01</v>
      </c>
      <c r="X15" s="165"/>
      <c r="Y15" s="165">
        <v>30600.33</v>
      </c>
      <c r="Z15" s="165">
        <v>17269.22</v>
      </c>
      <c r="AA15" s="169">
        <v>32953.019999999997</v>
      </c>
      <c r="AB15" s="165">
        <f>SUM(C15:AA15)</f>
        <v>2205636.88</v>
      </c>
      <c r="AC15" s="149"/>
    </row>
    <row r="16" spans="1:29" x14ac:dyDescent="0.25">
      <c r="A16" s="171" t="s">
        <v>218</v>
      </c>
      <c r="B16" s="164" t="s">
        <v>219</v>
      </c>
      <c r="C16" s="173"/>
      <c r="D16" s="173">
        <v>0</v>
      </c>
      <c r="E16" s="173">
        <v>1.4</v>
      </c>
      <c r="F16" s="173">
        <v>0</v>
      </c>
      <c r="G16" s="173"/>
      <c r="H16" s="173"/>
      <c r="I16" s="173"/>
      <c r="J16" s="173">
        <v>0</v>
      </c>
      <c r="K16" s="173">
        <v>0</v>
      </c>
      <c r="L16" s="173">
        <v>0</v>
      </c>
      <c r="M16" s="173"/>
      <c r="N16" s="173">
        <v>0</v>
      </c>
      <c r="O16" s="173"/>
      <c r="P16" s="173"/>
      <c r="Q16" s="173">
        <v>0</v>
      </c>
      <c r="R16" s="166">
        <v>0</v>
      </c>
      <c r="S16" s="173">
        <v>0</v>
      </c>
      <c r="T16" s="173">
        <v>1.44</v>
      </c>
      <c r="U16" s="173"/>
      <c r="V16" s="173">
        <v>0</v>
      </c>
      <c r="W16" s="173">
        <v>0</v>
      </c>
      <c r="X16" s="173"/>
      <c r="Y16" s="173"/>
      <c r="Z16" s="173">
        <v>0</v>
      </c>
      <c r="AA16" s="167">
        <v>0</v>
      </c>
      <c r="AB16" s="173">
        <f>SUM(C16:AA16)</f>
        <v>2.84</v>
      </c>
      <c r="AC16" s="149"/>
    </row>
    <row r="17" spans="1:29" x14ac:dyDescent="0.25">
      <c r="A17" s="171" t="s">
        <v>220</v>
      </c>
      <c r="B17" s="164" t="s">
        <v>221</v>
      </c>
      <c r="C17" s="165">
        <v>378.13</v>
      </c>
      <c r="D17" s="165">
        <v>21079.599999999999</v>
      </c>
      <c r="E17" s="165">
        <v>0</v>
      </c>
      <c r="F17" s="165">
        <v>8820.81</v>
      </c>
      <c r="G17" s="165">
        <v>12598.06</v>
      </c>
      <c r="H17" s="165"/>
      <c r="I17" s="165">
        <v>10675.76</v>
      </c>
      <c r="J17" s="165">
        <v>877.96</v>
      </c>
      <c r="K17" s="165">
        <v>47641.919999999998</v>
      </c>
      <c r="L17" s="165">
        <v>1262.0999999999999</v>
      </c>
      <c r="M17" s="165"/>
      <c r="N17" s="165">
        <v>0</v>
      </c>
      <c r="O17" s="165">
        <v>25380.3</v>
      </c>
      <c r="P17" s="165"/>
      <c r="Q17" s="165">
        <v>12491.16</v>
      </c>
      <c r="R17" s="170">
        <v>0</v>
      </c>
      <c r="S17" s="165">
        <v>55536.959999999999</v>
      </c>
      <c r="T17" s="165">
        <v>101905.29</v>
      </c>
      <c r="U17" s="165"/>
      <c r="V17" s="165">
        <v>71296.44</v>
      </c>
      <c r="W17" s="165">
        <v>21406.1</v>
      </c>
      <c r="X17" s="165"/>
      <c r="Y17" s="165">
        <v>345.59</v>
      </c>
      <c r="Z17" s="165">
        <v>0</v>
      </c>
      <c r="AA17" s="169">
        <v>0</v>
      </c>
      <c r="AB17" s="165">
        <f>SUM(C17:AA17)</f>
        <v>391696.18</v>
      </c>
      <c r="AC17" s="149"/>
    </row>
    <row r="18" spans="1:29" x14ac:dyDescent="0.25">
      <c r="A18" s="171">
        <v>71414</v>
      </c>
      <c r="B18" s="164" t="s">
        <v>222</v>
      </c>
      <c r="C18" s="173"/>
      <c r="D18" s="173">
        <v>1760.43</v>
      </c>
      <c r="E18" s="173">
        <v>0</v>
      </c>
      <c r="F18" s="173">
        <v>0</v>
      </c>
      <c r="G18" s="173"/>
      <c r="H18" s="173"/>
      <c r="I18" s="173"/>
      <c r="J18" s="173"/>
      <c r="K18" s="173">
        <v>0</v>
      </c>
      <c r="L18" s="173">
        <v>0</v>
      </c>
      <c r="M18" s="173">
        <v>11068.56</v>
      </c>
      <c r="N18" s="173">
        <v>0</v>
      </c>
      <c r="O18" s="173"/>
      <c r="P18" s="173"/>
      <c r="Q18" s="173"/>
      <c r="R18" s="166">
        <v>0</v>
      </c>
      <c r="S18" s="173">
        <v>0</v>
      </c>
      <c r="T18" s="173">
        <v>0</v>
      </c>
      <c r="U18" s="173"/>
      <c r="V18" s="173">
        <v>0</v>
      </c>
      <c r="W18" s="173"/>
      <c r="X18" s="173"/>
      <c r="Y18" s="173"/>
      <c r="Z18" s="173">
        <v>0</v>
      </c>
      <c r="AA18" s="167">
        <v>0</v>
      </c>
      <c r="AB18" s="173">
        <f>SUM(C18:AA18)</f>
        <v>12828.99</v>
      </c>
      <c r="AC18" s="149"/>
    </row>
    <row r="19" spans="1:29" x14ac:dyDescent="0.25">
      <c r="A19" s="174">
        <v>7142</v>
      </c>
      <c r="B19" s="160" t="s">
        <v>223</v>
      </c>
      <c r="C19" s="161">
        <f t="shared" ref="C19" si="24">+C20+C21+C22+C23+C24</f>
        <v>128380.06</v>
      </c>
      <c r="D19" s="161">
        <f>+D20+D21+D22+D23+D24</f>
        <v>895480.58000000007</v>
      </c>
      <c r="E19" s="161">
        <f t="shared" ref="E19" si="25">+E20+E21+E22+E23+E24</f>
        <v>56944.31</v>
      </c>
      <c r="F19" s="161">
        <f t="shared" ref="F19:X19" si="26">+F20+F21+F22+F23+F24</f>
        <v>531382.75</v>
      </c>
      <c r="G19" s="161">
        <f t="shared" si="26"/>
        <v>0</v>
      </c>
      <c r="H19" s="161">
        <f t="shared" si="26"/>
        <v>70522.2</v>
      </c>
      <c r="I19" s="161">
        <f t="shared" si="26"/>
        <v>138114.93</v>
      </c>
      <c r="J19" s="161">
        <f t="shared" si="26"/>
        <v>0</v>
      </c>
      <c r="K19" s="161">
        <f t="shared" ref="K19" si="27">+K20+K21+K22+K23+K24</f>
        <v>73396.41</v>
      </c>
      <c r="L19" s="161">
        <f>+L20+L21+L22+L23+L24</f>
        <v>224237.38</v>
      </c>
      <c r="M19" s="161">
        <f t="shared" ref="M19:N19" si="28">+M20+M21+M22+M23+M24</f>
        <v>353739.35</v>
      </c>
      <c r="N19" s="161">
        <f t="shared" si="28"/>
        <v>60802.16</v>
      </c>
      <c r="O19" s="161">
        <f t="shared" si="26"/>
        <v>373932.81</v>
      </c>
      <c r="P19" s="161">
        <f t="shared" si="26"/>
        <v>72672.28</v>
      </c>
      <c r="Q19" s="161">
        <f t="shared" si="26"/>
        <v>121774.8</v>
      </c>
      <c r="R19" s="161">
        <f t="shared" si="26"/>
        <v>4793.25</v>
      </c>
      <c r="S19" s="161">
        <f>+S20+S21+S22+S23+S24</f>
        <v>2696580.62</v>
      </c>
      <c r="T19" s="161">
        <f t="shared" ref="T19:U19" si="29">+T20+T21+T22+T23+T24</f>
        <v>251388.2</v>
      </c>
      <c r="U19" s="161">
        <f t="shared" si="29"/>
        <v>759415.57</v>
      </c>
      <c r="V19" s="161">
        <f>+V20+V21+V22+V23+V24</f>
        <v>0</v>
      </c>
      <c r="W19" s="161">
        <f t="shared" si="26"/>
        <v>50011.61</v>
      </c>
      <c r="X19" s="161">
        <f t="shared" si="26"/>
        <v>145912.63999999998</v>
      </c>
      <c r="Y19" s="161">
        <f>+Y20+Y21+Y22+Y23+Y24</f>
        <v>0</v>
      </c>
      <c r="Z19" s="161">
        <v>0</v>
      </c>
      <c r="AA19" s="175">
        <f>SUM(AA20:AA24)</f>
        <v>0</v>
      </c>
      <c r="AB19" s="161">
        <f>SUM(AB20:AB24)</f>
        <v>7009481.9100000011</v>
      </c>
      <c r="AC19" s="149"/>
    </row>
    <row r="20" spans="1:29" x14ac:dyDescent="0.25">
      <c r="A20" s="171" t="s">
        <v>224</v>
      </c>
      <c r="B20" s="164" t="s">
        <v>225</v>
      </c>
      <c r="C20" s="165">
        <v>128380.06</v>
      </c>
      <c r="D20" s="165">
        <v>0</v>
      </c>
      <c r="E20" s="165">
        <v>56944.31</v>
      </c>
      <c r="F20" s="165">
        <v>344724.60000000003</v>
      </c>
      <c r="G20" s="165"/>
      <c r="H20" s="165"/>
      <c r="I20" s="165">
        <v>5418</v>
      </c>
      <c r="J20" s="165"/>
      <c r="K20" s="165">
        <v>0</v>
      </c>
      <c r="L20" s="165">
        <v>224237.38</v>
      </c>
      <c r="M20" s="165"/>
      <c r="N20" s="165">
        <v>15904</v>
      </c>
      <c r="O20" s="165">
        <v>9892.76</v>
      </c>
      <c r="P20" s="165">
        <v>72672.28</v>
      </c>
      <c r="Q20" s="165">
        <v>121774.8</v>
      </c>
      <c r="R20" s="170">
        <v>4793.25</v>
      </c>
      <c r="S20" s="165">
        <v>1587558.99</v>
      </c>
      <c r="T20" s="165">
        <v>91657.75</v>
      </c>
      <c r="U20" s="165">
        <v>716478.24</v>
      </c>
      <c r="V20" s="165">
        <v>0</v>
      </c>
      <c r="W20" s="165">
        <v>1960.7</v>
      </c>
      <c r="X20" s="165">
        <v>140554.26999999999</v>
      </c>
      <c r="Y20" s="165">
        <v>0</v>
      </c>
      <c r="Z20" s="165">
        <v>0</v>
      </c>
      <c r="AA20" s="167">
        <v>0</v>
      </c>
      <c r="AB20" s="165">
        <f t="shared" ref="AB20:AB32" si="30">SUM(C20:AA20)</f>
        <v>3522951.39</v>
      </c>
      <c r="AC20" s="149"/>
    </row>
    <row r="21" spans="1:29" x14ac:dyDescent="0.25">
      <c r="A21" s="171">
        <v>71422</v>
      </c>
      <c r="B21" s="164" t="s">
        <v>226</v>
      </c>
      <c r="C21" s="173"/>
      <c r="D21" s="173">
        <v>0</v>
      </c>
      <c r="E21" s="173">
        <v>0</v>
      </c>
      <c r="F21" s="173"/>
      <c r="G21" s="173"/>
      <c r="H21" s="173"/>
      <c r="I21" s="173"/>
      <c r="J21" s="173"/>
      <c r="K21" s="173">
        <v>0</v>
      </c>
      <c r="L21" s="173">
        <v>0</v>
      </c>
      <c r="M21" s="173"/>
      <c r="N21" s="173">
        <v>0</v>
      </c>
      <c r="O21" s="173"/>
      <c r="P21" s="173"/>
      <c r="Q21" s="173"/>
      <c r="R21" s="166">
        <v>0</v>
      </c>
      <c r="S21" s="173">
        <v>0</v>
      </c>
      <c r="T21" s="173">
        <v>0</v>
      </c>
      <c r="U21" s="173"/>
      <c r="V21" s="173">
        <v>0</v>
      </c>
      <c r="W21" s="173"/>
      <c r="X21" s="173"/>
      <c r="Y21" s="173">
        <v>0</v>
      </c>
      <c r="Z21" s="173">
        <v>0</v>
      </c>
      <c r="AA21" s="168">
        <v>0</v>
      </c>
      <c r="AB21" s="173">
        <f t="shared" si="30"/>
        <v>0</v>
      </c>
      <c r="AC21" s="149"/>
    </row>
    <row r="22" spans="1:29" x14ac:dyDescent="0.25">
      <c r="A22" s="171" t="s">
        <v>227</v>
      </c>
      <c r="B22" s="164" t="s">
        <v>228</v>
      </c>
      <c r="C22" s="173"/>
      <c r="D22" s="173">
        <v>0</v>
      </c>
      <c r="E22" s="173">
        <v>0</v>
      </c>
      <c r="F22" s="173">
        <v>60503.67</v>
      </c>
      <c r="G22" s="173"/>
      <c r="H22" s="173"/>
      <c r="I22" s="173"/>
      <c r="J22" s="173"/>
      <c r="K22" s="173">
        <v>0</v>
      </c>
      <c r="L22" s="173">
        <v>0</v>
      </c>
      <c r="M22" s="173"/>
      <c r="N22" s="173">
        <v>0</v>
      </c>
      <c r="O22" s="173">
        <v>364040.05</v>
      </c>
      <c r="P22" s="173"/>
      <c r="Q22" s="173"/>
      <c r="R22" s="166">
        <v>0</v>
      </c>
      <c r="S22" s="173">
        <v>0</v>
      </c>
      <c r="T22" s="173">
        <v>0</v>
      </c>
      <c r="U22" s="173"/>
      <c r="V22" s="173">
        <v>0</v>
      </c>
      <c r="W22" s="173"/>
      <c r="X22" s="173"/>
      <c r="Y22" s="173">
        <v>0</v>
      </c>
      <c r="Z22" s="173">
        <v>0</v>
      </c>
      <c r="AA22" s="168">
        <v>0</v>
      </c>
      <c r="AB22" s="173">
        <f t="shared" si="30"/>
        <v>424543.72</v>
      </c>
      <c r="AC22" s="149"/>
    </row>
    <row r="23" spans="1:29" x14ac:dyDescent="0.25">
      <c r="A23" s="171">
        <v>71424</v>
      </c>
      <c r="B23" s="164" t="s">
        <v>229</v>
      </c>
      <c r="C23" s="173"/>
      <c r="D23" s="173">
        <v>248228.53</v>
      </c>
      <c r="E23" s="173">
        <v>0</v>
      </c>
      <c r="F23" s="173">
        <v>126154.48</v>
      </c>
      <c r="G23" s="173"/>
      <c r="H23" s="173">
        <v>70522.2</v>
      </c>
      <c r="I23" s="173">
        <v>132696.93</v>
      </c>
      <c r="J23" s="173"/>
      <c r="K23" s="173">
        <v>73396.41</v>
      </c>
      <c r="L23" s="173">
        <v>0</v>
      </c>
      <c r="M23" s="173">
        <v>353739.35</v>
      </c>
      <c r="N23" s="173">
        <v>44898.16</v>
      </c>
      <c r="O23" s="173"/>
      <c r="P23" s="173"/>
      <c r="Q23" s="173"/>
      <c r="R23" s="166">
        <v>0</v>
      </c>
      <c r="S23" s="173">
        <v>1109021.6299999999</v>
      </c>
      <c r="T23" s="173">
        <v>159730.45000000001</v>
      </c>
      <c r="U23" s="173">
        <v>42937.33</v>
      </c>
      <c r="V23" s="173">
        <v>0</v>
      </c>
      <c r="W23" s="173">
        <v>48050.91</v>
      </c>
      <c r="X23" s="173">
        <v>5358.37</v>
      </c>
      <c r="Y23" s="173">
        <v>0</v>
      </c>
      <c r="Z23" s="173">
        <v>0</v>
      </c>
      <c r="AA23" s="169">
        <v>0</v>
      </c>
      <c r="AB23" s="173">
        <f t="shared" si="30"/>
        <v>2414734.7500000005</v>
      </c>
      <c r="AC23" s="149"/>
    </row>
    <row r="24" spans="1:29" x14ac:dyDescent="0.25">
      <c r="A24" s="171">
        <v>71425</v>
      </c>
      <c r="B24" s="164" t="s">
        <v>230</v>
      </c>
      <c r="C24" s="173"/>
      <c r="D24" s="173">
        <v>647252.05000000005</v>
      </c>
      <c r="E24" s="173">
        <v>0</v>
      </c>
      <c r="F24" s="173"/>
      <c r="G24" s="173"/>
      <c r="H24" s="173"/>
      <c r="I24" s="173"/>
      <c r="J24" s="173"/>
      <c r="K24" s="173">
        <v>0</v>
      </c>
      <c r="L24" s="173">
        <v>0</v>
      </c>
      <c r="M24" s="173"/>
      <c r="N24" s="173">
        <v>0</v>
      </c>
      <c r="O24" s="173"/>
      <c r="P24" s="173"/>
      <c r="Q24" s="173"/>
      <c r="R24" s="166">
        <v>0</v>
      </c>
      <c r="S24" s="173">
        <v>0</v>
      </c>
      <c r="T24" s="173">
        <v>0</v>
      </c>
      <c r="U24" s="173"/>
      <c r="V24" s="173">
        <v>0</v>
      </c>
      <c r="W24" s="173"/>
      <c r="X24" s="173"/>
      <c r="Y24" s="173">
        <v>0</v>
      </c>
      <c r="Z24" s="173">
        <v>0</v>
      </c>
      <c r="AA24" s="167">
        <v>0</v>
      </c>
      <c r="AB24" s="173">
        <f t="shared" si="30"/>
        <v>647252.05000000005</v>
      </c>
      <c r="AC24" s="149"/>
    </row>
    <row r="25" spans="1:29" x14ac:dyDescent="0.25">
      <c r="A25" s="171">
        <v>7143</v>
      </c>
      <c r="B25" s="164" t="s">
        <v>231</v>
      </c>
      <c r="C25" s="173"/>
      <c r="D25" s="173">
        <v>0</v>
      </c>
      <c r="E25" s="173">
        <v>0</v>
      </c>
      <c r="F25" s="173"/>
      <c r="G25" s="173"/>
      <c r="H25" s="173"/>
      <c r="I25" s="173"/>
      <c r="J25" s="173"/>
      <c r="K25" s="173">
        <v>0</v>
      </c>
      <c r="L25" s="173">
        <v>0</v>
      </c>
      <c r="M25" s="173"/>
      <c r="N25" s="173">
        <v>0</v>
      </c>
      <c r="O25" s="173"/>
      <c r="P25" s="173"/>
      <c r="Q25" s="173"/>
      <c r="R25" s="166">
        <v>0</v>
      </c>
      <c r="S25" s="173">
        <v>0</v>
      </c>
      <c r="T25" s="173">
        <v>0</v>
      </c>
      <c r="U25" s="173"/>
      <c r="V25" s="173">
        <v>0</v>
      </c>
      <c r="W25" s="173"/>
      <c r="X25" s="173"/>
      <c r="Y25" s="173">
        <v>0</v>
      </c>
      <c r="Z25" s="173">
        <v>0</v>
      </c>
      <c r="AA25" s="169">
        <v>0</v>
      </c>
      <c r="AB25" s="173">
        <f t="shared" si="30"/>
        <v>0</v>
      </c>
      <c r="AC25" s="149"/>
    </row>
    <row r="26" spans="1:29" x14ac:dyDescent="0.25">
      <c r="A26" s="171">
        <v>7145</v>
      </c>
      <c r="B26" s="164" t="s">
        <v>232</v>
      </c>
      <c r="C26" s="173"/>
      <c r="D26" s="173">
        <v>0</v>
      </c>
      <c r="E26" s="173">
        <v>0</v>
      </c>
      <c r="F26" s="173"/>
      <c r="G26" s="173"/>
      <c r="H26" s="173"/>
      <c r="I26" s="173"/>
      <c r="J26" s="173">
        <v>3193.27</v>
      </c>
      <c r="K26" s="173">
        <v>283.3</v>
      </c>
      <c r="L26" s="173">
        <v>0</v>
      </c>
      <c r="M26" s="173"/>
      <c r="N26" s="173">
        <v>0</v>
      </c>
      <c r="O26" s="173"/>
      <c r="P26" s="173"/>
      <c r="Q26" s="173"/>
      <c r="R26" s="166">
        <v>363</v>
      </c>
      <c r="S26" s="173">
        <v>0</v>
      </c>
      <c r="T26" s="173">
        <v>0</v>
      </c>
      <c r="U26" s="173"/>
      <c r="V26" s="173">
        <v>0</v>
      </c>
      <c r="W26" s="173"/>
      <c r="X26" s="173">
        <v>25396.68</v>
      </c>
      <c r="Y26" s="173">
        <v>0</v>
      </c>
      <c r="Z26" s="173">
        <v>0</v>
      </c>
      <c r="AA26" s="167">
        <v>0</v>
      </c>
      <c r="AB26" s="173">
        <f t="shared" si="30"/>
        <v>29236.25</v>
      </c>
      <c r="AC26" s="149"/>
    </row>
    <row r="27" spans="1:29" x14ac:dyDescent="0.25">
      <c r="A27" s="171" t="s">
        <v>233</v>
      </c>
      <c r="B27" s="164" t="s">
        <v>234</v>
      </c>
      <c r="C27" s="165">
        <v>4950.3100000000004</v>
      </c>
      <c r="D27" s="165">
        <v>6970837.9699999997</v>
      </c>
      <c r="E27" s="165">
        <v>52668.5</v>
      </c>
      <c r="F27" s="165">
        <v>225629.6</v>
      </c>
      <c r="G27" s="165">
        <v>3949151.29</v>
      </c>
      <c r="H27" s="165">
        <v>173552.14</v>
      </c>
      <c r="I27" s="165">
        <v>37574.35</v>
      </c>
      <c r="J27" s="165">
        <v>8874.9699999999993</v>
      </c>
      <c r="K27" s="165">
        <v>2782994.13</v>
      </c>
      <c r="L27" s="165">
        <v>613674.35</v>
      </c>
      <c r="M27" s="165">
        <v>2820095.97</v>
      </c>
      <c r="N27" s="165">
        <v>3106.54</v>
      </c>
      <c r="O27" s="165">
        <v>352360.49</v>
      </c>
      <c r="P27" s="165">
        <v>2683.52</v>
      </c>
      <c r="Q27" s="165">
        <v>63764.729999999996</v>
      </c>
      <c r="R27" s="170">
        <v>734.76</v>
      </c>
      <c r="S27" s="165">
        <v>112153.08</v>
      </c>
      <c r="T27" s="165">
        <f>20100677.63+1020907.94</f>
        <v>21121585.57</v>
      </c>
      <c r="U27" s="165">
        <v>59346.09</v>
      </c>
      <c r="V27" s="165">
        <v>1376542.31</v>
      </c>
      <c r="W27" s="165">
        <v>1754141.69</v>
      </c>
      <c r="X27" s="165">
        <v>307512.88</v>
      </c>
      <c r="Y27" s="173">
        <v>0</v>
      </c>
      <c r="Z27" s="173">
        <v>211846.15</v>
      </c>
      <c r="AA27" s="168">
        <v>1234.22</v>
      </c>
      <c r="AB27" s="165">
        <f t="shared" si="30"/>
        <v>43007015.609999999</v>
      </c>
      <c r="AC27" s="149"/>
    </row>
    <row r="28" spans="1:29" x14ac:dyDescent="0.25">
      <c r="A28" s="171">
        <v>71464</v>
      </c>
      <c r="B28" s="164" t="s">
        <v>235</v>
      </c>
      <c r="C28" s="173"/>
      <c r="D28" s="173">
        <v>0</v>
      </c>
      <c r="E28" s="173">
        <v>0</v>
      </c>
      <c r="F28" s="173"/>
      <c r="G28" s="173"/>
      <c r="H28" s="173"/>
      <c r="I28" s="173"/>
      <c r="J28" s="173"/>
      <c r="K28" s="173">
        <v>0</v>
      </c>
      <c r="L28" s="173">
        <v>0</v>
      </c>
      <c r="M28" s="173"/>
      <c r="N28" s="173">
        <v>0</v>
      </c>
      <c r="O28" s="173"/>
      <c r="P28" s="173"/>
      <c r="Q28" s="173"/>
      <c r="R28" s="166">
        <v>0</v>
      </c>
      <c r="S28" s="173">
        <v>0</v>
      </c>
      <c r="T28" s="173">
        <v>373679.12</v>
      </c>
      <c r="U28" s="173"/>
      <c r="V28" s="173">
        <v>0</v>
      </c>
      <c r="W28" s="173"/>
      <c r="X28" s="173"/>
      <c r="Y28" s="173">
        <v>0</v>
      </c>
      <c r="Z28" s="173">
        <v>0</v>
      </c>
      <c r="AA28" s="168">
        <v>0</v>
      </c>
      <c r="AB28" s="173">
        <f t="shared" si="30"/>
        <v>373679.12</v>
      </c>
      <c r="AC28" s="149"/>
    </row>
    <row r="29" spans="1:29" x14ac:dyDescent="0.25">
      <c r="A29" s="171">
        <v>7147</v>
      </c>
      <c r="B29" s="164" t="s">
        <v>236</v>
      </c>
      <c r="C29" s="173"/>
      <c r="D29" s="173">
        <v>0</v>
      </c>
      <c r="E29" s="173">
        <v>0</v>
      </c>
      <c r="F29" s="173">
        <v>147785.01</v>
      </c>
      <c r="G29" s="173"/>
      <c r="H29" s="173">
        <v>102642.1</v>
      </c>
      <c r="I29" s="173"/>
      <c r="J29" s="173"/>
      <c r="K29" s="173">
        <v>0</v>
      </c>
      <c r="L29" s="173">
        <v>0</v>
      </c>
      <c r="M29" s="173">
        <v>39284.58</v>
      </c>
      <c r="N29" s="173">
        <v>21004.99</v>
      </c>
      <c r="O29" s="173"/>
      <c r="P29" s="173">
        <v>2051</v>
      </c>
      <c r="Q29" s="173"/>
      <c r="R29" s="166">
        <v>0</v>
      </c>
      <c r="S29" s="173">
        <v>0</v>
      </c>
      <c r="T29" s="173">
        <v>0</v>
      </c>
      <c r="U29" s="173">
        <v>91598.57</v>
      </c>
      <c r="V29" s="173">
        <v>94519.77</v>
      </c>
      <c r="W29" s="173"/>
      <c r="X29" s="173">
        <v>12848.76</v>
      </c>
      <c r="Y29" s="173">
        <v>5320.74</v>
      </c>
      <c r="Z29" s="173">
        <v>0</v>
      </c>
      <c r="AA29" s="168">
        <v>0</v>
      </c>
      <c r="AB29" s="173">
        <f t="shared" si="30"/>
        <v>517055.52</v>
      </c>
      <c r="AC29" s="149"/>
    </row>
    <row r="30" spans="1:29" s="147" customFormat="1" x14ac:dyDescent="0.25">
      <c r="A30" s="171">
        <v>7148</v>
      </c>
      <c r="B30" s="164" t="s">
        <v>237</v>
      </c>
      <c r="C30" s="165">
        <v>11278.09</v>
      </c>
      <c r="D30" s="165">
        <v>158449.44</v>
      </c>
      <c r="E30" s="165">
        <v>35120.699999999997</v>
      </c>
      <c r="F30" s="165">
        <v>109221.15000000001</v>
      </c>
      <c r="G30" s="165">
        <v>106900.65</v>
      </c>
      <c r="H30" s="165">
        <v>51003.57</v>
      </c>
      <c r="I30" s="165">
        <v>57874.05</v>
      </c>
      <c r="J30" s="165">
        <v>8549.2199999999993</v>
      </c>
      <c r="K30" s="165">
        <v>86469.97</v>
      </c>
      <c r="L30" s="165">
        <f>19984.09+L31</f>
        <v>26745.82</v>
      </c>
      <c r="M30" s="165">
        <v>95355.79</v>
      </c>
      <c r="N30" s="165">
        <v>16431.73</v>
      </c>
      <c r="O30" s="165">
        <v>228255.4</v>
      </c>
      <c r="P30" s="165">
        <v>6024.43</v>
      </c>
      <c r="Q30" s="165">
        <v>19474.330000000002</v>
      </c>
      <c r="R30" s="170">
        <v>900.5</v>
      </c>
      <c r="S30" s="165">
        <v>70137.13</v>
      </c>
      <c r="T30" s="165">
        <v>669673.64</v>
      </c>
      <c r="U30" s="165">
        <v>80813.11</v>
      </c>
      <c r="V30" s="165">
        <v>67799.14</v>
      </c>
      <c r="W30" s="165">
        <v>92915.64</v>
      </c>
      <c r="X30" s="165">
        <v>9969.5</v>
      </c>
      <c r="Y30" s="173">
        <v>2986.2</v>
      </c>
      <c r="Z30" s="173">
        <v>33036.449999999997</v>
      </c>
      <c r="AA30" s="176">
        <v>25964.74</v>
      </c>
      <c r="AB30" s="165">
        <f t="shared" si="30"/>
        <v>2071350.3899999997</v>
      </c>
      <c r="AC30" s="177"/>
    </row>
    <row r="31" spans="1:29" x14ac:dyDescent="0.25">
      <c r="A31" s="171">
        <v>71489</v>
      </c>
      <c r="B31" s="164" t="s">
        <v>238</v>
      </c>
      <c r="C31" s="165"/>
      <c r="D31" s="165">
        <v>128256.85</v>
      </c>
      <c r="E31" s="165">
        <v>0</v>
      </c>
      <c r="F31" s="165"/>
      <c r="G31" s="165">
        <v>218631.29</v>
      </c>
      <c r="H31" s="165"/>
      <c r="I31" s="165">
        <v>7316.06</v>
      </c>
      <c r="J31" s="165"/>
      <c r="K31" s="165">
        <v>197299.71</v>
      </c>
      <c r="L31" s="165">
        <v>6761.73</v>
      </c>
      <c r="M31" s="165"/>
      <c r="N31" s="165">
        <v>0</v>
      </c>
      <c r="O31" s="165">
        <v>267610.82</v>
      </c>
      <c r="P31" s="165"/>
      <c r="Q31" s="165"/>
      <c r="R31" s="170">
        <v>0</v>
      </c>
      <c r="S31" s="165">
        <v>72020.89</v>
      </c>
      <c r="T31" s="165">
        <v>543362.54</v>
      </c>
      <c r="U31" s="165"/>
      <c r="V31" s="165">
        <v>0</v>
      </c>
      <c r="W31" s="165"/>
      <c r="X31" s="165">
        <v>4521.3500000000004</v>
      </c>
      <c r="Y31" s="165">
        <v>0</v>
      </c>
      <c r="Z31" s="165">
        <v>71316.52</v>
      </c>
      <c r="AA31" s="167">
        <v>0</v>
      </c>
      <c r="AB31" s="165">
        <f t="shared" si="30"/>
        <v>1517097.7600000002</v>
      </c>
      <c r="AC31" s="149"/>
    </row>
    <row r="32" spans="1:29" x14ac:dyDescent="0.25">
      <c r="A32" s="171" t="s">
        <v>239</v>
      </c>
      <c r="B32" s="164" t="s">
        <v>54</v>
      </c>
      <c r="C32" s="165"/>
      <c r="D32" s="165">
        <v>0</v>
      </c>
      <c r="E32" s="165">
        <v>0</v>
      </c>
      <c r="F32" s="165">
        <v>51357.139999999992</v>
      </c>
      <c r="G32" s="165"/>
      <c r="H32" s="165"/>
      <c r="I32" s="165">
        <v>5997.7</v>
      </c>
      <c r="J32" s="165"/>
      <c r="K32" s="165">
        <v>0</v>
      </c>
      <c r="L32" s="165">
        <v>0</v>
      </c>
      <c r="M32" s="165">
        <v>1439522.2600000002</v>
      </c>
      <c r="N32" s="165">
        <v>0</v>
      </c>
      <c r="O32" s="165">
        <v>21201.73</v>
      </c>
      <c r="P32" s="165">
        <v>3549.91</v>
      </c>
      <c r="Q32" s="165">
        <v>12299.76</v>
      </c>
      <c r="R32" s="170">
        <v>0</v>
      </c>
      <c r="S32" s="165">
        <v>1180772.25</v>
      </c>
      <c r="T32" s="165">
        <v>17546.310000000001</v>
      </c>
      <c r="U32" s="165"/>
      <c r="V32" s="165">
        <v>125616.15</v>
      </c>
      <c r="W32" s="165">
        <v>500129.45</v>
      </c>
      <c r="X32" s="165">
        <v>8985.77</v>
      </c>
      <c r="Y32" s="165">
        <v>0</v>
      </c>
      <c r="Z32" s="165">
        <v>0</v>
      </c>
      <c r="AA32" s="169">
        <v>0</v>
      </c>
      <c r="AB32" s="165">
        <f t="shared" si="30"/>
        <v>3366978.43</v>
      </c>
      <c r="AC32" s="149"/>
    </row>
    <row r="33" spans="1:29" x14ac:dyDescent="0.25">
      <c r="A33" s="159">
        <v>715</v>
      </c>
      <c r="B33" s="160" t="s">
        <v>240</v>
      </c>
      <c r="C33" s="161">
        <f t="shared" ref="C33" si="31">SUM(C34:C39)</f>
        <v>17370.760000000002</v>
      </c>
      <c r="D33" s="161">
        <f t="shared" ref="D33" si="32">SUM(D34:D39)</f>
        <v>659932.64000000013</v>
      </c>
      <c r="E33" s="161">
        <f t="shared" ref="E33" si="33">SUM(E34:E39)</f>
        <v>57901.53</v>
      </c>
      <c r="F33" s="161">
        <f t="shared" ref="F33:W33" si="34">SUM(F34:F39)</f>
        <v>65976.909999999989</v>
      </c>
      <c r="G33" s="161">
        <f t="shared" ref="G33" si="35">SUM(G34:G39)</f>
        <v>2349712.59</v>
      </c>
      <c r="H33" s="161">
        <f t="shared" si="34"/>
        <v>827069.6399999999</v>
      </c>
      <c r="I33" s="161">
        <f t="shared" ref="I33" si="36">SUM(I34:I39)</f>
        <v>131779.99</v>
      </c>
      <c r="J33" s="161">
        <f t="shared" si="34"/>
        <v>159269.13</v>
      </c>
      <c r="K33" s="161">
        <f t="shared" ref="K33" si="37">SUM(K34:K39)</f>
        <v>477893.95999999996</v>
      </c>
      <c r="L33" s="161">
        <f t="shared" ref="L33" si="38">SUM(L34:L39)</f>
        <v>23987.980000000003</v>
      </c>
      <c r="M33" s="161">
        <f t="shared" ref="M33" si="39">SUM(M34:M39)</f>
        <v>3355666.5500000003</v>
      </c>
      <c r="N33" s="161">
        <f t="shared" ref="N33" si="40">SUM(N34:N39)</f>
        <v>58001.27</v>
      </c>
      <c r="O33" s="161">
        <f t="shared" si="34"/>
        <v>557452.19999999995</v>
      </c>
      <c r="P33" s="161">
        <f t="shared" si="34"/>
        <v>870.83</v>
      </c>
      <c r="Q33" s="161">
        <f t="shared" si="34"/>
        <v>16467.38</v>
      </c>
      <c r="R33" s="161">
        <f t="shared" ref="R33" si="41">SUM(R34:R39)</f>
        <v>7667.19</v>
      </c>
      <c r="S33" s="161">
        <f>SUM(S34:S39)</f>
        <v>94867.23</v>
      </c>
      <c r="T33" s="161">
        <f t="shared" ref="T33" si="42">SUM(T34:T39)</f>
        <v>2392947.08</v>
      </c>
      <c r="U33" s="161">
        <f t="shared" ref="U33" si="43">SUM(U34:U39)</f>
        <v>35711.29</v>
      </c>
      <c r="V33" s="161">
        <f t="shared" ref="V33" si="44">SUM(V34:V39)</f>
        <v>490806.16000000003</v>
      </c>
      <c r="W33" s="161">
        <f t="shared" si="34"/>
        <v>123451.32</v>
      </c>
      <c r="X33" s="161">
        <f t="shared" ref="X33" si="45">SUM(X34:X39)</f>
        <v>46419.020000000004</v>
      </c>
      <c r="Y33" s="161">
        <f t="shared" ref="Y33" si="46">SUM(Y34:Y39)</f>
        <v>550.07999999999993</v>
      </c>
      <c r="Z33" s="161">
        <f>SUM(Z35,Z36,Z37,Z38,Z39)</f>
        <v>9091.15</v>
      </c>
      <c r="AA33" s="178">
        <f>SUM(AA34:AA39)</f>
        <v>25799.37</v>
      </c>
      <c r="AB33" s="161">
        <f t="shared" ref="AB33" si="47">SUM(AB34:AB39)</f>
        <v>11986663.25</v>
      </c>
      <c r="AC33" s="149"/>
    </row>
    <row r="34" spans="1:29" x14ac:dyDescent="0.25">
      <c r="A34" s="163" t="s">
        <v>241</v>
      </c>
      <c r="B34" s="164" t="s">
        <v>242</v>
      </c>
      <c r="C34" s="173">
        <v>2504</v>
      </c>
      <c r="D34" s="173">
        <v>401282.03</v>
      </c>
      <c r="E34" s="173">
        <v>49921.48</v>
      </c>
      <c r="F34" s="173"/>
      <c r="G34" s="173"/>
      <c r="H34" s="173">
        <v>908.87</v>
      </c>
      <c r="I34" s="173">
        <v>14391.22</v>
      </c>
      <c r="J34" s="173">
        <v>2909.25</v>
      </c>
      <c r="K34" s="173">
        <v>0</v>
      </c>
      <c r="L34" s="173">
        <v>4034.26</v>
      </c>
      <c r="M34" s="173">
        <v>559837.93999999994</v>
      </c>
      <c r="N34" s="173">
        <v>0</v>
      </c>
      <c r="O34" s="173"/>
      <c r="P34" s="173"/>
      <c r="Q34" s="173">
        <v>3687.48</v>
      </c>
      <c r="R34" s="166">
        <v>402</v>
      </c>
      <c r="S34" s="173">
        <v>20154.150000000001</v>
      </c>
      <c r="T34" s="173">
        <v>1077038.8500000001</v>
      </c>
      <c r="U34" s="173">
        <v>6520.18</v>
      </c>
      <c r="V34" s="173">
        <v>157173.5</v>
      </c>
      <c r="W34" s="173">
        <v>1659.7</v>
      </c>
      <c r="X34" s="173"/>
      <c r="Y34" s="173">
        <v>33.32</v>
      </c>
      <c r="Z34" s="173">
        <v>0</v>
      </c>
      <c r="AA34" s="169">
        <v>0</v>
      </c>
      <c r="AB34" s="173">
        <f t="shared" ref="AB34:AB39" si="48">SUM(C34:AA34)</f>
        <v>2302458.2300000004</v>
      </c>
      <c r="AC34" s="149"/>
    </row>
    <row r="35" spans="1:29" x14ac:dyDescent="0.25">
      <c r="A35" s="163" t="s">
        <v>243</v>
      </c>
      <c r="B35" s="164" t="s">
        <v>244</v>
      </c>
      <c r="C35" s="165">
        <v>11.89</v>
      </c>
      <c r="D35" s="165">
        <v>147013.34</v>
      </c>
      <c r="E35" s="165">
        <v>551.25</v>
      </c>
      <c r="F35" s="165">
        <v>32682.59</v>
      </c>
      <c r="G35" s="165"/>
      <c r="H35" s="165">
        <v>33485.57</v>
      </c>
      <c r="I35" s="165">
        <v>1832.33</v>
      </c>
      <c r="J35" s="165">
        <v>1931.01</v>
      </c>
      <c r="K35" s="165">
        <v>214239.25</v>
      </c>
      <c r="L35" s="165">
        <v>16502.21</v>
      </c>
      <c r="M35" s="165">
        <v>247386.03</v>
      </c>
      <c r="N35" s="165">
        <v>1938.54</v>
      </c>
      <c r="O35" s="165">
        <v>130077.88</v>
      </c>
      <c r="P35" s="165">
        <v>120</v>
      </c>
      <c r="Q35" s="165">
        <v>33.340000000000003</v>
      </c>
      <c r="R35" s="170">
        <v>0</v>
      </c>
      <c r="S35" s="165">
        <v>6666.67</v>
      </c>
      <c r="T35" s="165">
        <v>668922.63</v>
      </c>
      <c r="U35" s="165"/>
      <c r="V35" s="165">
        <v>116539.65</v>
      </c>
      <c r="W35" s="165">
        <v>78915.100000000006</v>
      </c>
      <c r="X35" s="165">
        <v>14427.54</v>
      </c>
      <c r="Y35" s="165">
        <v>321.76</v>
      </c>
      <c r="Z35" s="165">
        <v>3112.8</v>
      </c>
      <c r="AA35" s="167">
        <v>24853.37</v>
      </c>
      <c r="AB35" s="165">
        <f t="shared" si="48"/>
        <v>1741564.7500000002</v>
      </c>
      <c r="AC35" s="149"/>
    </row>
    <row r="36" spans="1:29" x14ac:dyDescent="0.25">
      <c r="A36" s="163">
        <v>71525</v>
      </c>
      <c r="B36" s="164" t="s">
        <v>245</v>
      </c>
      <c r="C36" s="173"/>
      <c r="D36" s="173">
        <v>32122.06</v>
      </c>
      <c r="E36" s="173">
        <v>0</v>
      </c>
      <c r="F36" s="173"/>
      <c r="G36" s="173">
        <v>1305150.1499999999</v>
      </c>
      <c r="H36" s="173"/>
      <c r="I36" s="173"/>
      <c r="J36" s="173"/>
      <c r="K36" s="173">
        <v>0</v>
      </c>
      <c r="L36" s="173">
        <v>0</v>
      </c>
      <c r="M36" s="173"/>
      <c r="N36" s="173">
        <v>0</v>
      </c>
      <c r="O36" s="173"/>
      <c r="P36" s="173"/>
      <c r="Q36" s="173"/>
      <c r="R36" s="166">
        <v>0</v>
      </c>
      <c r="S36" s="173">
        <v>365.75</v>
      </c>
      <c r="T36" s="173">
        <v>91496.33</v>
      </c>
      <c r="U36" s="173"/>
      <c r="V36" s="173">
        <v>0</v>
      </c>
      <c r="W36" s="173"/>
      <c r="X36" s="173">
        <v>2385.5700000000002</v>
      </c>
      <c r="Y36" s="173">
        <v>0</v>
      </c>
      <c r="Z36" s="173">
        <v>0</v>
      </c>
      <c r="AA36" s="168">
        <v>0</v>
      </c>
      <c r="AB36" s="173">
        <f t="shared" si="48"/>
        <v>1431519.86</v>
      </c>
      <c r="AC36" s="149"/>
    </row>
    <row r="37" spans="1:29" x14ac:dyDescent="0.25">
      <c r="A37" s="163" t="s">
        <v>246</v>
      </c>
      <c r="B37" s="164" t="s">
        <v>247</v>
      </c>
      <c r="C37" s="165">
        <v>4591.21</v>
      </c>
      <c r="D37" s="165">
        <v>19310.8</v>
      </c>
      <c r="E37" s="165">
        <v>6445.85</v>
      </c>
      <c r="F37" s="165"/>
      <c r="G37" s="165"/>
      <c r="H37" s="165">
        <v>197643.62</v>
      </c>
      <c r="I37" s="165">
        <v>35521.379999999997</v>
      </c>
      <c r="J37" s="165"/>
      <c r="K37" s="165">
        <v>15657.71</v>
      </c>
      <c r="L37" s="165">
        <v>0</v>
      </c>
      <c r="M37" s="165">
        <v>1730568.85</v>
      </c>
      <c r="N37" s="165">
        <v>3257.39</v>
      </c>
      <c r="O37" s="165">
        <v>34951.839999999997</v>
      </c>
      <c r="P37" s="165"/>
      <c r="Q37" s="165">
        <v>1548.56</v>
      </c>
      <c r="R37" s="170">
        <v>7265.19</v>
      </c>
      <c r="S37" s="165">
        <v>40342.080000000002</v>
      </c>
      <c r="T37" s="165">
        <v>264461.34999999998</v>
      </c>
      <c r="U37" s="165">
        <v>9304.84</v>
      </c>
      <c r="V37" s="165">
        <v>-2243.08</v>
      </c>
      <c r="W37" s="165">
        <v>23858.65</v>
      </c>
      <c r="X37" s="165">
        <v>18601.25</v>
      </c>
      <c r="Y37" s="165">
        <v>0</v>
      </c>
      <c r="Z37" s="165">
        <v>3471.21</v>
      </c>
      <c r="AA37" s="168">
        <v>0</v>
      </c>
      <c r="AB37" s="165">
        <f t="shared" si="48"/>
        <v>2414558.6999999997</v>
      </c>
      <c r="AC37" s="149"/>
    </row>
    <row r="38" spans="1:29" x14ac:dyDescent="0.25">
      <c r="A38" s="163">
        <v>71532</v>
      </c>
      <c r="B38" s="164" t="s">
        <v>248</v>
      </c>
      <c r="C38" s="173"/>
      <c r="D38" s="173">
        <v>0</v>
      </c>
      <c r="E38" s="173">
        <v>0</v>
      </c>
      <c r="F38" s="173"/>
      <c r="G38" s="173"/>
      <c r="H38" s="173"/>
      <c r="I38" s="173"/>
      <c r="J38" s="173"/>
      <c r="K38" s="173">
        <v>0</v>
      </c>
      <c r="L38" s="173">
        <v>0</v>
      </c>
      <c r="M38" s="173"/>
      <c r="N38" s="173">
        <v>0</v>
      </c>
      <c r="O38" s="173"/>
      <c r="P38" s="173"/>
      <c r="Q38" s="173"/>
      <c r="R38" s="166">
        <v>0</v>
      </c>
      <c r="S38" s="173">
        <v>0</v>
      </c>
      <c r="T38" s="173">
        <v>0</v>
      </c>
      <c r="U38" s="173"/>
      <c r="V38" s="173">
        <v>0</v>
      </c>
      <c r="W38" s="173"/>
      <c r="X38" s="173"/>
      <c r="Y38" s="173">
        <v>0</v>
      </c>
      <c r="Z38" s="173">
        <v>0</v>
      </c>
      <c r="AA38" s="168">
        <v>0</v>
      </c>
      <c r="AB38" s="173">
        <f t="shared" si="48"/>
        <v>0</v>
      </c>
      <c r="AC38" s="149"/>
    </row>
    <row r="39" spans="1:29" x14ac:dyDescent="0.25">
      <c r="A39" s="163" t="s">
        <v>249</v>
      </c>
      <c r="B39" s="164" t="s">
        <v>240</v>
      </c>
      <c r="C39" s="165">
        <v>10263.66</v>
      </c>
      <c r="D39" s="165">
        <v>60204.41</v>
      </c>
      <c r="E39" s="165">
        <v>982.95</v>
      </c>
      <c r="F39" s="165">
        <v>33294.319999999992</v>
      </c>
      <c r="G39" s="165">
        <v>1044562.44</v>
      </c>
      <c r="H39" s="165">
        <v>595031.57999999996</v>
      </c>
      <c r="I39" s="165">
        <v>80035.06</v>
      </c>
      <c r="J39" s="165">
        <v>154428.87</v>
      </c>
      <c r="K39" s="165">
        <v>247997</v>
      </c>
      <c r="L39" s="165">
        <v>3451.51</v>
      </c>
      <c r="M39" s="165">
        <v>817873.73</v>
      </c>
      <c r="N39" s="165">
        <v>52805.34</v>
      </c>
      <c r="O39" s="165">
        <v>392422.48</v>
      </c>
      <c r="P39" s="165">
        <v>750.83</v>
      </c>
      <c r="Q39" s="165">
        <v>11198</v>
      </c>
      <c r="R39" s="170">
        <v>0</v>
      </c>
      <c r="S39" s="165">
        <v>27338.58</v>
      </c>
      <c r="T39" s="165">
        <v>291027.92</v>
      </c>
      <c r="U39" s="165">
        <v>19886.27</v>
      </c>
      <c r="V39" s="165">
        <v>219336.09</v>
      </c>
      <c r="W39" s="165">
        <v>19017.87</v>
      </c>
      <c r="X39" s="165">
        <v>11004.66</v>
      </c>
      <c r="Y39" s="165">
        <v>195</v>
      </c>
      <c r="Z39" s="165">
        <v>2507.14</v>
      </c>
      <c r="AA39" s="169">
        <v>946</v>
      </c>
      <c r="AB39" s="165">
        <f t="shared" si="48"/>
        <v>4096561.71</v>
      </c>
      <c r="AC39" s="149"/>
    </row>
    <row r="40" spans="1:29" x14ac:dyDescent="0.25">
      <c r="A40" s="154">
        <v>72</v>
      </c>
      <c r="B40" s="155" t="s">
        <v>250</v>
      </c>
      <c r="C40" s="156">
        <f t="shared" ref="C40:E40" si="49">+C41+C44</f>
        <v>0</v>
      </c>
      <c r="D40" s="156">
        <f t="shared" si="49"/>
        <v>836233.23</v>
      </c>
      <c r="E40" s="156">
        <f t="shared" si="49"/>
        <v>655.59</v>
      </c>
      <c r="F40" s="156">
        <f t="shared" ref="F40:Z40" si="50">+F41+F44</f>
        <v>8905</v>
      </c>
      <c r="G40" s="156">
        <f t="shared" si="50"/>
        <v>728525.58</v>
      </c>
      <c r="H40" s="156">
        <f t="shared" si="50"/>
        <v>78897.429999999993</v>
      </c>
      <c r="I40" s="156">
        <f t="shared" si="50"/>
        <v>0</v>
      </c>
      <c r="J40" s="156">
        <f t="shared" si="50"/>
        <v>12540</v>
      </c>
      <c r="K40" s="156">
        <f t="shared" ref="K40:L40" si="51">+K41+K44</f>
        <v>500</v>
      </c>
      <c r="L40" s="156">
        <f t="shared" si="51"/>
        <v>8218.3799999999992</v>
      </c>
      <c r="M40" s="156">
        <f t="shared" si="50"/>
        <v>43360</v>
      </c>
      <c r="N40" s="156">
        <f t="shared" si="50"/>
        <v>4166.59</v>
      </c>
      <c r="O40" s="156">
        <f t="shared" si="50"/>
        <v>2133659.1</v>
      </c>
      <c r="P40" s="156">
        <f t="shared" si="50"/>
        <v>0</v>
      </c>
      <c r="Q40" s="156">
        <f t="shared" si="50"/>
        <v>0</v>
      </c>
      <c r="R40" s="156">
        <f t="shared" si="50"/>
        <v>0</v>
      </c>
      <c r="S40" s="156">
        <f>+S41+S44</f>
        <v>43787.81</v>
      </c>
      <c r="T40" s="156">
        <f t="shared" ref="T40:V40" si="52">+T41+T44</f>
        <v>691089.2</v>
      </c>
      <c r="U40" s="156">
        <f t="shared" si="52"/>
        <v>24720.57</v>
      </c>
      <c r="V40" s="156">
        <f t="shared" si="52"/>
        <v>279497.11</v>
      </c>
      <c r="W40" s="156">
        <f t="shared" si="50"/>
        <v>155622.51999999999</v>
      </c>
      <c r="X40" s="156">
        <f t="shared" si="50"/>
        <v>55930.239999999998</v>
      </c>
      <c r="Y40" s="157">
        <f t="shared" si="50"/>
        <v>0</v>
      </c>
      <c r="Z40" s="157">
        <f t="shared" si="50"/>
        <v>0</v>
      </c>
      <c r="AA40" s="179">
        <f>SUM(AA41:AA46)</f>
        <v>0</v>
      </c>
      <c r="AB40" s="156">
        <f t="shared" ref="AB40" si="53">+AB41+AB44</f>
        <v>5106308.3500000006</v>
      </c>
      <c r="AC40" s="149"/>
    </row>
    <row r="41" spans="1:29" x14ac:dyDescent="0.25">
      <c r="A41" s="159" t="s">
        <v>251</v>
      </c>
      <c r="B41" s="160" t="s">
        <v>252</v>
      </c>
      <c r="C41" s="161">
        <f t="shared" ref="C41" si="54">SUM(C42:C43)</f>
        <v>0</v>
      </c>
      <c r="D41" s="161">
        <f t="shared" ref="D41" si="55">SUM(D42:D43)</f>
        <v>836233.23</v>
      </c>
      <c r="E41" s="161">
        <f t="shared" ref="E41" si="56">SUM(E42:E43)</f>
        <v>655.59</v>
      </c>
      <c r="F41" s="161">
        <f t="shared" ref="F41:X41" si="57">SUM(F42:F43)</f>
        <v>8905</v>
      </c>
      <c r="G41" s="161">
        <f t="shared" si="57"/>
        <v>728525.58</v>
      </c>
      <c r="H41" s="161">
        <f t="shared" si="57"/>
        <v>78897.429999999993</v>
      </c>
      <c r="I41" s="161">
        <f t="shared" si="57"/>
        <v>0</v>
      </c>
      <c r="J41" s="161">
        <f t="shared" si="57"/>
        <v>12540</v>
      </c>
      <c r="K41" s="161">
        <f t="shared" ref="K41" si="58">SUM(K42:K43)</f>
        <v>500</v>
      </c>
      <c r="L41" s="161">
        <f t="shared" ref="L41" si="59">SUM(L42:L43)</f>
        <v>8218.3799999999992</v>
      </c>
      <c r="M41" s="161">
        <f t="shared" ref="M41:N41" si="60">SUM(M42:M43)</f>
        <v>43360</v>
      </c>
      <c r="N41" s="161">
        <f t="shared" si="60"/>
        <v>4166.59</v>
      </c>
      <c r="O41" s="161">
        <f t="shared" si="57"/>
        <v>2133659.1</v>
      </c>
      <c r="P41" s="161">
        <f t="shared" si="57"/>
        <v>0</v>
      </c>
      <c r="Q41" s="161">
        <f t="shared" si="57"/>
        <v>0</v>
      </c>
      <c r="R41" s="161">
        <f t="shared" si="57"/>
        <v>0</v>
      </c>
      <c r="S41" s="161">
        <f>SUM(S42:S43)</f>
        <v>43787.81</v>
      </c>
      <c r="T41" s="161">
        <f t="shared" ref="T41" si="61">SUM(T42:T43)</f>
        <v>691089.2</v>
      </c>
      <c r="U41" s="161">
        <f t="shared" ref="U41" si="62">SUM(U42:U43)</f>
        <v>24720.57</v>
      </c>
      <c r="V41" s="161">
        <f t="shared" ref="V41" si="63">SUM(V42:V43)</f>
        <v>279497.11</v>
      </c>
      <c r="W41" s="161">
        <f t="shared" si="57"/>
        <v>155622.51999999999</v>
      </c>
      <c r="X41" s="161">
        <f t="shared" si="57"/>
        <v>55930.239999999998</v>
      </c>
      <c r="Y41" s="161">
        <f t="shared" ref="Y41" si="64">SUM(Y42:Y43)</f>
        <v>0</v>
      </c>
      <c r="Z41" s="161">
        <f t="shared" ref="Z41" si="65">SUM(Z42:Z43)</f>
        <v>0</v>
      </c>
      <c r="AA41" s="175">
        <v>0</v>
      </c>
      <c r="AB41" s="161">
        <f t="shared" ref="AB41" si="66">SUM(AB42:AB43)</f>
        <v>5106308.3500000006</v>
      </c>
      <c r="AC41" s="149"/>
    </row>
    <row r="42" spans="1:29" x14ac:dyDescent="0.25">
      <c r="A42" s="171" t="s">
        <v>253</v>
      </c>
      <c r="B42" s="164" t="s">
        <v>254</v>
      </c>
      <c r="C42" s="173"/>
      <c r="D42" s="173">
        <v>836233.23</v>
      </c>
      <c r="E42" s="173">
        <v>655.59</v>
      </c>
      <c r="F42" s="173">
        <v>8905</v>
      </c>
      <c r="G42" s="173">
        <v>728525.58</v>
      </c>
      <c r="H42" s="173">
        <v>78897.429999999993</v>
      </c>
      <c r="I42" s="173">
        <v>0</v>
      </c>
      <c r="J42" s="173">
        <v>12540</v>
      </c>
      <c r="K42" s="173">
        <v>500</v>
      </c>
      <c r="L42" s="173">
        <v>8218.3799999999992</v>
      </c>
      <c r="M42" s="173">
        <v>43360</v>
      </c>
      <c r="N42" s="173">
        <v>4166.59</v>
      </c>
      <c r="O42" s="173">
        <v>2133659.1</v>
      </c>
      <c r="P42" s="173"/>
      <c r="Q42" s="173"/>
      <c r="R42" s="166">
        <v>0</v>
      </c>
      <c r="S42" s="173">
        <v>43787.81</v>
      </c>
      <c r="T42" s="173">
        <v>691089.2</v>
      </c>
      <c r="U42" s="173">
        <v>24720.57</v>
      </c>
      <c r="V42" s="173">
        <v>279497.11</v>
      </c>
      <c r="W42" s="173">
        <v>155622.51999999999</v>
      </c>
      <c r="X42" s="173">
        <v>55930.239999999998</v>
      </c>
      <c r="Y42" s="173">
        <v>0</v>
      </c>
      <c r="Z42" s="173">
        <v>0</v>
      </c>
      <c r="AA42" s="167">
        <v>0</v>
      </c>
      <c r="AB42" s="173">
        <f>SUM(C42:AA42)</f>
        <v>5106308.3500000006</v>
      </c>
      <c r="AC42" s="149"/>
    </row>
    <row r="43" spans="1:29" x14ac:dyDescent="0.25">
      <c r="A43" s="171">
        <v>7212</v>
      </c>
      <c r="B43" s="164" t="s">
        <v>255</v>
      </c>
      <c r="C43" s="173"/>
      <c r="D43" s="173">
        <v>0</v>
      </c>
      <c r="E43" s="173">
        <v>0</v>
      </c>
      <c r="F43" s="173"/>
      <c r="G43" s="173"/>
      <c r="H43" s="173"/>
      <c r="I43" s="173"/>
      <c r="J43" s="173"/>
      <c r="K43" s="173">
        <v>0</v>
      </c>
      <c r="L43" s="173">
        <v>0</v>
      </c>
      <c r="M43" s="173"/>
      <c r="N43" s="173">
        <v>0</v>
      </c>
      <c r="O43" s="173"/>
      <c r="P43" s="173"/>
      <c r="Q43" s="173"/>
      <c r="R43" s="173">
        <v>0</v>
      </c>
      <c r="S43" s="173"/>
      <c r="T43" s="173">
        <v>0</v>
      </c>
      <c r="U43" s="173"/>
      <c r="V43" s="173">
        <v>0</v>
      </c>
      <c r="W43" s="173"/>
      <c r="X43" s="173"/>
      <c r="Y43" s="173">
        <v>0</v>
      </c>
      <c r="Z43" s="173">
        <v>0</v>
      </c>
      <c r="AA43" s="169">
        <v>0</v>
      </c>
      <c r="AB43" s="173">
        <f>SUM(C43:AA43)</f>
        <v>0</v>
      </c>
      <c r="AC43" s="149"/>
    </row>
    <row r="44" spans="1:29" x14ac:dyDescent="0.25">
      <c r="A44" s="159" t="s">
        <v>256</v>
      </c>
      <c r="B44" s="160" t="s">
        <v>257</v>
      </c>
      <c r="C44" s="161">
        <f>SUM(C45:C46)</f>
        <v>0</v>
      </c>
      <c r="D44" s="161">
        <f>SUM(D45:D46)</f>
        <v>0</v>
      </c>
      <c r="E44" s="161">
        <f>SUM(E45:E46)</f>
        <v>0</v>
      </c>
      <c r="F44" s="161">
        <f t="shared" ref="F44:W44" si="67">SUM(F45:F46)</f>
        <v>0</v>
      </c>
      <c r="G44" s="161">
        <f>SUM(G45:G46)</f>
        <v>0</v>
      </c>
      <c r="H44" s="161">
        <f t="shared" si="67"/>
        <v>0</v>
      </c>
      <c r="I44" s="161">
        <f t="shared" ref="I44:N44" si="68">SUM(I45:I46)</f>
        <v>0</v>
      </c>
      <c r="J44" s="161">
        <f t="shared" si="68"/>
        <v>0</v>
      </c>
      <c r="K44" s="161">
        <f t="shared" si="68"/>
        <v>0</v>
      </c>
      <c r="L44" s="161">
        <f t="shared" si="68"/>
        <v>0</v>
      </c>
      <c r="M44" s="161">
        <f t="shared" si="68"/>
        <v>0</v>
      </c>
      <c r="N44" s="161">
        <f t="shared" si="68"/>
        <v>0</v>
      </c>
      <c r="O44" s="161">
        <f t="shared" si="67"/>
        <v>0</v>
      </c>
      <c r="P44" s="161">
        <f>SUM(P45:P46)</f>
        <v>0</v>
      </c>
      <c r="Q44" s="161">
        <f t="shared" si="67"/>
        <v>0</v>
      </c>
      <c r="R44" s="161">
        <f>SUM(R45:R46)</f>
        <v>0</v>
      </c>
      <c r="S44" s="161">
        <f>SUM(S45:S46)</f>
        <v>0</v>
      </c>
      <c r="T44" s="161">
        <f>SUM(T45:T46)</f>
        <v>0</v>
      </c>
      <c r="U44" s="161">
        <f>SUM(U45:U46)</f>
        <v>0</v>
      </c>
      <c r="V44" s="161">
        <f>SUM(V45:V46)</f>
        <v>0</v>
      </c>
      <c r="W44" s="161">
        <f t="shared" si="67"/>
        <v>0</v>
      </c>
      <c r="X44" s="161">
        <f>SUM(X45:X46)</f>
        <v>0</v>
      </c>
      <c r="Y44" s="161">
        <f>SUM(Y45:Y46)</f>
        <v>0</v>
      </c>
      <c r="Z44" s="161">
        <f>SUM(Z45:Z46)</f>
        <v>0</v>
      </c>
      <c r="AA44" s="172">
        <v>0</v>
      </c>
      <c r="AB44" s="161">
        <f t="shared" ref="AB44" si="69">SUM(AB45:AB46)</f>
        <v>0</v>
      </c>
      <c r="AC44" s="149"/>
    </row>
    <row r="45" spans="1:29" x14ac:dyDescent="0.25">
      <c r="A45" s="171" t="s">
        <v>258</v>
      </c>
      <c r="B45" s="164" t="s">
        <v>259</v>
      </c>
      <c r="C45" s="173"/>
      <c r="D45" s="173">
        <v>0</v>
      </c>
      <c r="E45" s="173">
        <v>0</v>
      </c>
      <c r="F45" s="173"/>
      <c r="G45" s="173"/>
      <c r="H45" s="173"/>
      <c r="I45" s="173"/>
      <c r="J45" s="173"/>
      <c r="K45" s="173">
        <v>0</v>
      </c>
      <c r="L45" s="173">
        <v>0</v>
      </c>
      <c r="M45" s="173"/>
      <c r="N45" s="173">
        <v>0</v>
      </c>
      <c r="O45" s="173"/>
      <c r="P45" s="173"/>
      <c r="Q45" s="173"/>
      <c r="R45" s="173">
        <v>0</v>
      </c>
      <c r="S45" s="173"/>
      <c r="T45" s="173">
        <v>0</v>
      </c>
      <c r="U45" s="173"/>
      <c r="V45" s="173">
        <v>0</v>
      </c>
      <c r="W45" s="173"/>
      <c r="X45" s="173"/>
      <c r="Y45" s="173">
        <v>0</v>
      </c>
      <c r="Z45" s="173">
        <v>0</v>
      </c>
      <c r="AA45" s="168">
        <v>0</v>
      </c>
      <c r="AB45" s="173">
        <f>SUM(C45:AA45)</f>
        <v>0</v>
      </c>
      <c r="AC45" s="149"/>
    </row>
    <row r="46" spans="1:29" x14ac:dyDescent="0.25">
      <c r="A46" s="171" t="s">
        <v>260</v>
      </c>
      <c r="B46" s="164" t="s">
        <v>261</v>
      </c>
      <c r="C46" s="173"/>
      <c r="D46" s="173">
        <v>0</v>
      </c>
      <c r="E46" s="173">
        <v>0</v>
      </c>
      <c r="F46" s="173"/>
      <c r="G46" s="173"/>
      <c r="H46" s="173"/>
      <c r="I46" s="173"/>
      <c r="J46" s="173"/>
      <c r="K46" s="173">
        <v>0</v>
      </c>
      <c r="L46" s="173">
        <v>0</v>
      </c>
      <c r="M46" s="173"/>
      <c r="N46" s="173">
        <v>0</v>
      </c>
      <c r="O46" s="173"/>
      <c r="P46" s="173"/>
      <c r="Q46" s="173"/>
      <c r="R46" s="173">
        <v>0</v>
      </c>
      <c r="S46" s="173"/>
      <c r="T46" s="173">
        <v>0</v>
      </c>
      <c r="U46" s="173"/>
      <c r="V46" s="173">
        <v>0</v>
      </c>
      <c r="W46" s="173"/>
      <c r="X46" s="173"/>
      <c r="Y46" s="173">
        <v>0</v>
      </c>
      <c r="Z46" s="173">
        <v>0</v>
      </c>
      <c r="AA46" s="169">
        <v>0</v>
      </c>
      <c r="AB46" s="173">
        <f>SUM(C46:AA46)</f>
        <v>0</v>
      </c>
      <c r="AC46" s="149"/>
    </row>
    <row r="47" spans="1:29" x14ac:dyDescent="0.25">
      <c r="A47" s="154">
        <v>73</v>
      </c>
      <c r="B47" s="155" t="s">
        <v>262</v>
      </c>
      <c r="C47" s="156">
        <f>SUM(C48:C49)</f>
        <v>1056319.77</v>
      </c>
      <c r="D47" s="156">
        <f>SUM(D48:D49)</f>
        <v>29280677.98</v>
      </c>
      <c r="E47" s="156">
        <f>SUM(E48:E49)</f>
        <v>0</v>
      </c>
      <c r="F47" s="156">
        <f t="shared" ref="F47:AB47" si="70">SUM(F48:F49)</f>
        <v>7054521.7300000004</v>
      </c>
      <c r="G47" s="156">
        <f>SUM(G48:G49)</f>
        <v>16503997.779999999</v>
      </c>
      <c r="H47" s="156">
        <f t="shared" ref="H47:J47" si="71">SUM(H48:H49)</f>
        <v>702662.88</v>
      </c>
      <c r="I47" s="156">
        <f>SUM(I48:I49)</f>
        <v>310225.55</v>
      </c>
      <c r="J47" s="156">
        <f t="shared" si="71"/>
        <v>997246.52</v>
      </c>
      <c r="K47" s="156">
        <f>SUM(K48:K49)</f>
        <v>608771.30000000005</v>
      </c>
      <c r="L47" s="156">
        <f>SUM(L48:L49)</f>
        <v>2173648.79</v>
      </c>
      <c r="M47" s="156">
        <f>SUM(M48:M49)</f>
        <v>2805356.21</v>
      </c>
      <c r="N47" s="156">
        <f>SUM(N48:N49)</f>
        <v>3007229.6199999996</v>
      </c>
      <c r="O47" s="156">
        <f t="shared" si="70"/>
        <v>9865998.8800000008</v>
      </c>
      <c r="P47" s="156">
        <f>SUM(P48:P49)</f>
        <v>1862970.52</v>
      </c>
      <c r="Q47" s="156">
        <f t="shared" si="70"/>
        <v>1477462.69</v>
      </c>
      <c r="R47" s="156">
        <f>SUM(R48:R49)</f>
        <v>123.27</v>
      </c>
      <c r="S47" s="156">
        <f>SUM(S48:S49)</f>
        <v>9115835.629999999</v>
      </c>
      <c r="T47" s="156">
        <f>SUM(T48:T49)</f>
        <v>30827681.849999998</v>
      </c>
      <c r="U47" s="156">
        <f>SUM(U48:U49)</f>
        <v>767630.14</v>
      </c>
      <c r="V47" s="156">
        <f>SUM(V48:V49)</f>
        <v>10098451.370000001</v>
      </c>
      <c r="W47" s="156">
        <f t="shared" si="70"/>
        <v>1962020.46</v>
      </c>
      <c r="X47" s="156">
        <f>SUM(X48:X49)</f>
        <v>743937.88</v>
      </c>
      <c r="Y47" s="157">
        <f>SUM(Y48:Y49)</f>
        <v>2586033.73</v>
      </c>
      <c r="Z47" s="157">
        <f>SUM(Z48:Z49)</f>
        <v>763413.87</v>
      </c>
      <c r="AA47" s="180">
        <f>SUM(AA48:AA49)</f>
        <v>0</v>
      </c>
      <c r="AB47" s="156">
        <f t="shared" si="70"/>
        <v>134572218.41999996</v>
      </c>
      <c r="AC47" s="149"/>
    </row>
    <row r="48" spans="1:29" x14ac:dyDescent="0.25">
      <c r="A48" s="171">
        <v>731</v>
      </c>
      <c r="B48" s="164" t="s">
        <v>263</v>
      </c>
      <c r="C48" s="173">
        <v>89061.46</v>
      </c>
      <c r="D48" s="173">
        <v>0</v>
      </c>
      <c r="E48" s="173">
        <v>0</v>
      </c>
      <c r="F48" s="173"/>
      <c r="G48" s="173">
        <v>7047.24</v>
      </c>
      <c r="H48" s="173"/>
      <c r="I48" s="173"/>
      <c r="J48" s="173"/>
      <c r="K48" s="173">
        <v>0</v>
      </c>
      <c r="L48" s="173">
        <v>0</v>
      </c>
      <c r="M48" s="173">
        <v>17629.27</v>
      </c>
      <c r="N48" s="173">
        <v>150.03</v>
      </c>
      <c r="O48" s="173"/>
      <c r="P48" s="173">
        <v>64800</v>
      </c>
      <c r="Q48" s="173"/>
      <c r="R48" s="173">
        <v>123.27</v>
      </c>
      <c r="S48" s="173">
        <v>8439.7000000000007</v>
      </c>
      <c r="T48" s="173">
        <v>19073.02</v>
      </c>
      <c r="U48" s="173"/>
      <c r="V48" s="173">
        <v>6979.14</v>
      </c>
      <c r="W48" s="173"/>
      <c r="X48" s="173"/>
      <c r="Y48" s="173">
        <v>0</v>
      </c>
      <c r="Z48" s="173">
        <v>0</v>
      </c>
      <c r="AA48" s="167">
        <v>0</v>
      </c>
      <c r="AB48" s="173">
        <f>SUM(C48:AA48)</f>
        <v>213303.13</v>
      </c>
      <c r="AC48" s="149"/>
    </row>
    <row r="49" spans="1:29" x14ac:dyDescent="0.25">
      <c r="A49" s="171" t="s">
        <v>264</v>
      </c>
      <c r="B49" s="164" t="s">
        <v>265</v>
      </c>
      <c r="C49" s="165">
        <v>967258.31</v>
      </c>
      <c r="D49" s="165">
        <v>29280677.98</v>
      </c>
      <c r="E49" s="165">
        <v>0</v>
      </c>
      <c r="F49" s="165">
        <v>7054521.7300000004</v>
      </c>
      <c r="G49" s="165">
        <v>16496950.539999999</v>
      </c>
      <c r="H49" s="165">
        <v>702662.88</v>
      </c>
      <c r="I49" s="165">
        <v>310225.55</v>
      </c>
      <c r="J49" s="165">
        <v>997246.52</v>
      </c>
      <c r="K49" s="165">
        <v>608771.30000000005</v>
      </c>
      <c r="L49" s="165">
        <v>2173648.79</v>
      </c>
      <c r="M49" s="165">
        <v>2787726.94</v>
      </c>
      <c r="N49" s="165">
        <v>3007079.59</v>
      </c>
      <c r="O49" s="165">
        <v>9865998.8800000008</v>
      </c>
      <c r="P49" s="165">
        <v>1798170.52</v>
      </c>
      <c r="Q49" s="165">
        <v>1477462.69</v>
      </c>
      <c r="R49" s="165">
        <v>0</v>
      </c>
      <c r="S49" s="165">
        <v>9107395.9299999997</v>
      </c>
      <c r="T49" s="165">
        <v>30808608.829999998</v>
      </c>
      <c r="U49" s="165">
        <v>767630.14</v>
      </c>
      <c r="V49" s="165">
        <v>10091472.23</v>
      </c>
      <c r="W49" s="165">
        <v>1962020.46</v>
      </c>
      <c r="X49" s="165">
        <v>743937.88</v>
      </c>
      <c r="Y49" s="165">
        <v>2586033.73</v>
      </c>
      <c r="Z49" s="165">
        <v>763413.87</v>
      </c>
      <c r="AA49" s="168">
        <v>0</v>
      </c>
      <c r="AB49" s="165">
        <f>SUM(C49:AA49)</f>
        <v>134358915.28999996</v>
      </c>
      <c r="AC49" s="149"/>
    </row>
    <row r="50" spans="1:29" x14ac:dyDescent="0.25">
      <c r="A50" s="154">
        <v>74</v>
      </c>
      <c r="B50" s="155" t="s">
        <v>266</v>
      </c>
      <c r="C50" s="156">
        <f t="shared" ref="C50:E50" si="72">C51+C54</f>
        <v>2210555.48</v>
      </c>
      <c r="D50" s="156">
        <f t="shared" si="72"/>
        <v>4284619.12</v>
      </c>
      <c r="E50" s="156">
        <f t="shared" si="72"/>
        <v>2131836.7800000003</v>
      </c>
      <c r="F50" s="156">
        <f t="shared" ref="F50:AB50" si="73">F51+F54</f>
        <v>6650070.0200000005</v>
      </c>
      <c r="G50" s="156">
        <f t="shared" si="73"/>
        <v>0</v>
      </c>
      <c r="H50" s="156">
        <f t="shared" si="73"/>
        <v>4835509.45</v>
      </c>
      <c r="I50" s="156">
        <f t="shared" si="73"/>
        <v>2656279.9499999997</v>
      </c>
      <c r="J50" s="156">
        <f t="shared" si="73"/>
        <v>1499225.3199999998</v>
      </c>
      <c r="K50" s="156">
        <f t="shared" si="73"/>
        <v>80257.19</v>
      </c>
      <c r="L50" s="156">
        <f>L51+L54</f>
        <v>2716154.96</v>
      </c>
      <c r="M50" s="156">
        <f t="shared" si="73"/>
        <v>8000</v>
      </c>
      <c r="N50" s="156">
        <f t="shared" si="73"/>
        <v>2209611.89</v>
      </c>
      <c r="O50" s="156">
        <f t="shared" si="73"/>
        <v>6817188.5600000005</v>
      </c>
      <c r="P50" s="156">
        <f t="shared" si="73"/>
        <v>2289759.81</v>
      </c>
      <c r="Q50" s="156">
        <f t="shared" si="73"/>
        <v>2832833.31</v>
      </c>
      <c r="R50" s="156">
        <f t="shared" si="73"/>
        <v>211364.09999999998</v>
      </c>
      <c r="S50" s="156">
        <f>S51+S54</f>
        <v>4821742.9400000004</v>
      </c>
      <c r="T50" s="156">
        <f t="shared" ref="T50:V50" si="74">T51+T54</f>
        <v>1984216.91</v>
      </c>
      <c r="U50" s="156">
        <f t="shared" si="74"/>
        <v>5567710.8399999999</v>
      </c>
      <c r="V50" s="156">
        <f t="shared" si="74"/>
        <v>243012.61</v>
      </c>
      <c r="W50" s="156">
        <f t="shared" si="73"/>
        <v>2942755.96</v>
      </c>
      <c r="X50" s="156">
        <f t="shared" si="73"/>
        <v>1768453.31</v>
      </c>
      <c r="Y50" s="157">
        <f>Y51+Y54</f>
        <v>1792134.07</v>
      </c>
      <c r="Z50" s="157">
        <f>SUM(Z51,Z54)</f>
        <v>3371169.1</v>
      </c>
      <c r="AA50" s="181">
        <f>SUM(AA51+AA54)</f>
        <v>1349178.6800000002</v>
      </c>
      <c r="AB50" s="156">
        <f t="shared" si="73"/>
        <v>65273640.359999992</v>
      </c>
      <c r="AC50" s="149"/>
    </row>
    <row r="51" spans="1:29" x14ac:dyDescent="0.25">
      <c r="A51" s="159" t="s">
        <v>267</v>
      </c>
      <c r="B51" s="160" t="s">
        <v>268</v>
      </c>
      <c r="C51" s="161">
        <f t="shared" ref="C51" si="75">SUM(C52:C53)</f>
        <v>322180.31</v>
      </c>
      <c r="D51" s="161">
        <f t="shared" ref="D51" si="76">SUM(D52:D53)</f>
        <v>399056.26</v>
      </c>
      <c r="E51" s="161">
        <f t="shared" ref="E51" si="77">SUM(E52:E53)</f>
        <v>113589.95</v>
      </c>
      <c r="F51" s="161">
        <f t="shared" ref="F51:X51" si="78">SUM(F52:F53)</f>
        <v>207750.1</v>
      </c>
      <c r="G51" s="161">
        <f t="shared" si="78"/>
        <v>0</v>
      </c>
      <c r="H51" s="161">
        <f t="shared" si="78"/>
        <v>145200.25</v>
      </c>
      <c r="I51" s="161">
        <f t="shared" si="78"/>
        <v>166903.94</v>
      </c>
      <c r="J51" s="161">
        <f t="shared" si="78"/>
        <v>0</v>
      </c>
      <c r="K51" s="161">
        <f t="shared" si="78"/>
        <v>80257.19</v>
      </c>
      <c r="L51" s="161">
        <f>SUM(L52:L53)</f>
        <v>343315.34</v>
      </c>
      <c r="M51" s="161">
        <f t="shared" ref="M51:N51" si="79">SUM(M52:M53)</f>
        <v>8000</v>
      </c>
      <c r="N51" s="161">
        <f t="shared" si="79"/>
        <v>123000.85</v>
      </c>
      <c r="O51" s="161">
        <f t="shared" si="78"/>
        <v>106850.70999999999</v>
      </c>
      <c r="P51" s="161">
        <f t="shared" si="78"/>
        <v>39950</v>
      </c>
      <c r="Q51" s="161">
        <f t="shared" si="78"/>
        <v>44241.23</v>
      </c>
      <c r="R51" s="161">
        <f t="shared" si="78"/>
        <v>0</v>
      </c>
      <c r="S51" s="161">
        <f>SUM(S52:S53)</f>
        <v>20170.25</v>
      </c>
      <c r="T51" s="161">
        <f t="shared" ref="T51" si="80">SUM(T52:T53)</f>
        <v>1984216.91</v>
      </c>
      <c r="U51" s="161">
        <f t="shared" ref="U51" si="81">SUM(U52:U53)</f>
        <v>0</v>
      </c>
      <c r="V51" s="161">
        <f t="shared" ref="V51" si="82">SUM(V52:V53)</f>
        <v>243012.61</v>
      </c>
      <c r="W51" s="161">
        <f t="shared" si="78"/>
        <v>284389.58</v>
      </c>
      <c r="X51" s="161">
        <f t="shared" si="78"/>
        <v>50000</v>
      </c>
      <c r="Y51" s="161">
        <f>SUM(Y52:Y53)</f>
        <v>89762.51</v>
      </c>
      <c r="Z51" s="161">
        <v>113972.26</v>
      </c>
      <c r="AA51" s="162">
        <f>SUM(AA52:AA53)</f>
        <v>198576.54</v>
      </c>
      <c r="AB51" s="161">
        <f t="shared" ref="AB51" si="83">SUM(AB52:AB53)</f>
        <v>5084396.7899999991</v>
      </c>
      <c r="AC51" s="149"/>
    </row>
    <row r="52" spans="1:29" x14ac:dyDescent="0.25">
      <c r="A52" s="171" t="s">
        <v>269</v>
      </c>
      <c r="B52" s="164" t="s">
        <v>270</v>
      </c>
      <c r="C52" s="165">
        <v>322180.31</v>
      </c>
      <c r="D52" s="165">
        <v>231056.26</v>
      </c>
      <c r="E52" s="165">
        <v>77300</v>
      </c>
      <c r="F52" s="165">
        <v>207750.1</v>
      </c>
      <c r="G52" s="165"/>
      <c r="H52" s="165">
        <v>145200.25</v>
      </c>
      <c r="I52" s="165">
        <v>68016.75</v>
      </c>
      <c r="J52" s="165"/>
      <c r="K52" s="165">
        <v>80257.19</v>
      </c>
      <c r="L52" s="165">
        <v>80000</v>
      </c>
      <c r="M52" s="165">
        <v>8000</v>
      </c>
      <c r="N52" s="165">
        <v>0</v>
      </c>
      <c r="O52" s="165">
        <v>46000</v>
      </c>
      <c r="P52" s="165">
        <v>39950</v>
      </c>
      <c r="Q52" s="165">
        <v>44241.23</v>
      </c>
      <c r="R52" s="165">
        <v>0</v>
      </c>
      <c r="S52" s="165">
        <v>5620</v>
      </c>
      <c r="T52" s="165">
        <v>235504.96</v>
      </c>
      <c r="U52" s="165"/>
      <c r="V52" s="165">
        <v>0</v>
      </c>
      <c r="W52" s="165">
        <v>17000</v>
      </c>
      <c r="X52" s="165">
        <v>50000</v>
      </c>
      <c r="Y52" s="165">
        <v>0</v>
      </c>
      <c r="Z52" s="165">
        <v>113972.26</v>
      </c>
      <c r="AA52" s="167">
        <v>5000</v>
      </c>
      <c r="AB52" s="165">
        <f>SUM(C52:AA52)</f>
        <v>1777049.3099999998</v>
      </c>
      <c r="AC52" s="149"/>
    </row>
    <row r="53" spans="1:29" x14ac:dyDescent="0.25">
      <c r="A53" s="171" t="s">
        <v>271</v>
      </c>
      <c r="B53" s="164" t="s">
        <v>272</v>
      </c>
      <c r="C53" s="173"/>
      <c r="D53" s="173">
        <v>168000</v>
      </c>
      <c r="E53" s="173">
        <v>36289.949999999997</v>
      </c>
      <c r="F53" s="173"/>
      <c r="G53" s="173"/>
      <c r="H53" s="173"/>
      <c r="I53" s="173">
        <v>98887.19</v>
      </c>
      <c r="J53" s="173"/>
      <c r="K53" s="173">
        <v>0</v>
      </c>
      <c r="L53" s="173">
        <v>263315.34000000003</v>
      </c>
      <c r="M53" s="173"/>
      <c r="N53" s="173">
        <v>123000.85</v>
      </c>
      <c r="O53" s="173">
        <v>60850.71</v>
      </c>
      <c r="P53" s="173">
        <v>0</v>
      </c>
      <c r="Q53" s="173"/>
      <c r="R53" s="173">
        <v>0</v>
      </c>
      <c r="S53" s="173">
        <v>14550.25</v>
      </c>
      <c r="T53" s="173">
        <v>1748711.95</v>
      </c>
      <c r="U53" s="173"/>
      <c r="V53" s="173">
        <v>243012.61</v>
      </c>
      <c r="W53" s="173">
        <v>267389.58</v>
      </c>
      <c r="X53" s="173"/>
      <c r="Y53" s="165">
        <v>89762.51</v>
      </c>
      <c r="Z53" s="165">
        <v>0</v>
      </c>
      <c r="AA53" s="168">
        <v>193576.54</v>
      </c>
      <c r="AB53" s="173">
        <f>SUM(C53:AA53)</f>
        <v>3307347.4799999995</v>
      </c>
      <c r="AC53" s="149"/>
    </row>
    <row r="54" spans="1:29" x14ac:dyDescent="0.25">
      <c r="A54" s="159">
        <v>742</v>
      </c>
      <c r="B54" s="160" t="s">
        <v>273</v>
      </c>
      <c r="C54" s="161">
        <f>SUM(C55:C58)</f>
        <v>1888375.17</v>
      </c>
      <c r="D54" s="161">
        <f>SUM(D55:D58)</f>
        <v>3885562.86</v>
      </c>
      <c r="E54" s="161">
        <f>SUM(E55:E58)</f>
        <v>2018246.83</v>
      </c>
      <c r="F54" s="161">
        <f t="shared" ref="F54:W54" si="84">SUM(F55:F58)</f>
        <v>6442319.9200000009</v>
      </c>
      <c r="G54" s="161">
        <f>SUM(G55:G58)</f>
        <v>0</v>
      </c>
      <c r="H54" s="161">
        <f t="shared" si="84"/>
        <v>4690309.2</v>
      </c>
      <c r="I54" s="161">
        <f>SUM(I55:I58)</f>
        <v>2489376.0099999998</v>
      </c>
      <c r="J54" s="161">
        <f t="shared" si="84"/>
        <v>1499225.3199999998</v>
      </c>
      <c r="K54" s="161">
        <f>SUM(K55:K58)</f>
        <v>0</v>
      </c>
      <c r="L54" s="161">
        <f>SUM(L55:L58)</f>
        <v>2372839.62</v>
      </c>
      <c r="M54" s="161">
        <f>SUM(M55:M58)</f>
        <v>0</v>
      </c>
      <c r="N54" s="161">
        <f>+N55+N56+N57+N58</f>
        <v>2086611.04</v>
      </c>
      <c r="O54" s="161">
        <f t="shared" si="84"/>
        <v>6710337.8500000006</v>
      </c>
      <c r="P54" s="161">
        <f>SUM(P55:P58)</f>
        <v>2249809.81</v>
      </c>
      <c r="Q54" s="161">
        <f t="shared" si="84"/>
        <v>2788592.08</v>
      </c>
      <c r="R54" s="161">
        <f>SUM(R55:R58)</f>
        <v>211364.09999999998</v>
      </c>
      <c r="S54" s="161">
        <f>SUM(S55:S58)</f>
        <v>4801572.6900000004</v>
      </c>
      <c r="T54" s="161">
        <f>SUM(T55:T58)</f>
        <v>0</v>
      </c>
      <c r="U54" s="161">
        <f>SUM(U55:U58)</f>
        <v>5567710.8399999999</v>
      </c>
      <c r="V54" s="161">
        <f>SUM(V55:V58)</f>
        <v>0</v>
      </c>
      <c r="W54" s="161">
        <f t="shared" si="84"/>
        <v>2658366.38</v>
      </c>
      <c r="X54" s="161">
        <f>SUM(X56:X58)</f>
        <v>1718453.31</v>
      </c>
      <c r="Y54" s="161">
        <f>SUM(Y55:Y58)</f>
        <v>1702371.56</v>
      </c>
      <c r="Z54" s="161">
        <f>SUM(Z55,Z56,Z57,Z58)</f>
        <v>3257196.8400000003</v>
      </c>
      <c r="AA54" s="162">
        <f>SUM(AA55:AA58)</f>
        <v>1150602.1400000001</v>
      </c>
      <c r="AB54" s="161">
        <f t="shared" ref="AB54" si="85">SUM(AB55:AB58)</f>
        <v>60189243.569999993</v>
      </c>
      <c r="AC54" s="149"/>
    </row>
    <row r="55" spans="1:29" x14ac:dyDescent="0.25">
      <c r="A55" s="182">
        <v>7425</v>
      </c>
      <c r="B55" s="183" t="s">
        <v>274</v>
      </c>
      <c r="C55" s="165"/>
      <c r="D55" s="165">
        <v>0</v>
      </c>
      <c r="E55" s="165">
        <v>726312.62</v>
      </c>
      <c r="F55" s="165"/>
      <c r="G55" s="165"/>
      <c r="H55" s="165"/>
      <c r="I55" s="165">
        <v>164050.65</v>
      </c>
      <c r="J55" s="165"/>
      <c r="K55" s="165">
        <v>0</v>
      </c>
      <c r="L55" s="165">
        <v>0</v>
      </c>
      <c r="M55" s="165"/>
      <c r="N55" s="165">
        <v>25305.52</v>
      </c>
      <c r="O55" s="165"/>
      <c r="P55" s="165">
        <v>355249.36</v>
      </c>
      <c r="Q55" s="165"/>
      <c r="R55" s="165">
        <v>0</v>
      </c>
      <c r="S55" s="165">
        <v>410000</v>
      </c>
      <c r="T55" s="165">
        <v>0</v>
      </c>
      <c r="U55" s="165">
        <v>229440.6</v>
      </c>
      <c r="V55" s="165">
        <v>0</v>
      </c>
      <c r="W55" s="165"/>
      <c r="Y55" s="165">
        <v>0</v>
      </c>
      <c r="Z55" s="165">
        <v>154232.72</v>
      </c>
      <c r="AA55" s="167">
        <v>0</v>
      </c>
      <c r="AB55" s="165">
        <f>SUM(C55:AA55)</f>
        <v>2064591.47</v>
      </c>
      <c r="AC55" s="149"/>
    </row>
    <row r="56" spans="1:29" x14ac:dyDescent="0.25">
      <c r="A56" s="171" t="s">
        <v>275</v>
      </c>
      <c r="B56" s="164" t="s">
        <v>442</v>
      </c>
      <c r="C56" s="165">
        <v>24378.95</v>
      </c>
      <c r="D56" s="165">
        <v>0</v>
      </c>
      <c r="E56" s="165">
        <v>0</v>
      </c>
      <c r="F56" s="165"/>
      <c r="G56" s="165"/>
      <c r="H56" s="165">
        <v>4690309.2</v>
      </c>
      <c r="I56" s="165"/>
      <c r="J56" s="165"/>
      <c r="K56" s="165">
        <v>0</v>
      </c>
      <c r="L56" s="165">
        <v>0</v>
      </c>
      <c r="M56" s="165"/>
      <c r="N56" s="165">
        <v>0</v>
      </c>
      <c r="O56" s="165">
        <v>363418.4</v>
      </c>
      <c r="P56" s="165">
        <v>5685.14</v>
      </c>
      <c r="Q56" s="165">
        <v>116790</v>
      </c>
      <c r="R56" s="165">
        <v>0</v>
      </c>
      <c r="S56" s="165">
        <v>0</v>
      </c>
      <c r="T56" s="165">
        <v>0</v>
      </c>
      <c r="U56" s="165"/>
      <c r="V56" s="165">
        <v>0</v>
      </c>
      <c r="W56" s="165">
        <v>81600</v>
      </c>
      <c r="X56" s="165"/>
      <c r="Y56" s="165">
        <v>412.38</v>
      </c>
      <c r="Z56" s="165">
        <v>15259.65</v>
      </c>
      <c r="AA56" s="168">
        <v>0</v>
      </c>
      <c r="AB56" s="165">
        <f>SUM(C56:AA56)</f>
        <v>5297853.7200000007</v>
      </c>
      <c r="AC56" s="149"/>
    </row>
    <row r="57" spans="1:29" x14ac:dyDescent="0.25">
      <c r="A57" s="171" t="s">
        <v>276</v>
      </c>
      <c r="B57" s="164" t="s">
        <v>277</v>
      </c>
      <c r="C57" s="165">
        <v>1134609.77</v>
      </c>
      <c r="D57" s="165">
        <v>3885562.86</v>
      </c>
      <c r="E57" s="165">
        <v>1291934.21</v>
      </c>
      <c r="F57" s="165">
        <v>4669464.2700000005</v>
      </c>
      <c r="G57" s="165"/>
      <c r="H57" s="165"/>
      <c r="I57" s="165">
        <v>2325325.36</v>
      </c>
      <c r="J57" s="165">
        <v>798619.2</v>
      </c>
      <c r="K57" s="165">
        <v>0</v>
      </c>
      <c r="L57" s="165">
        <v>1564560.32</v>
      </c>
      <c r="M57" s="165"/>
      <c r="N57" s="165">
        <v>1253026.22</v>
      </c>
      <c r="O57" s="165">
        <v>6346919.4500000002</v>
      </c>
      <c r="P57" s="165">
        <v>976397.96</v>
      </c>
      <c r="Q57" s="165">
        <v>1759324.73</v>
      </c>
      <c r="R57" s="165">
        <v>117118.43</v>
      </c>
      <c r="S57" s="165">
        <v>3062303.08</v>
      </c>
      <c r="T57" s="165">
        <v>0</v>
      </c>
      <c r="U57" s="165">
        <v>4034305.87</v>
      </c>
      <c r="V57" s="165">
        <v>0</v>
      </c>
      <c r="W57" s="165">
        <v>2576766.38</v>
      </c>
      <c r="X57" s="165">
        <v>1039677.33</v>
      </c>
      <c r="Y57" s="165">
        <v>972572.72</v>
      </c>
      <c r="Z57" s="165">
        <v>2097822.85</v>
      </c>
      <c r="AA57" s="169">
        <v>705638.18</v>
      </c>
      <c r="AB57" s="165">
        <f>SUM(C57:AA57)</f>
        <v>40611949.189999998</v>
      </c>
      <c r="AC57" s="149"/>
    </row>
    <row r="58" spans="1:29" x14ac:dyDescent="0.25">
      <c r="A58" s="171">
        <v>7427</v>
      </c>
      <c r="B58" s="164" t="s">
        <v>441</v>
      </c>
      <c r="C58" s="165">
        <v>729386.45</v>
      </c>
      <c r="D58" s="165">
        <v>0</v>
      </c>
      <c r="E58" s="165">
        <v>0</v>
      </c>
      <c r="F58" s="165">
        <v>1772855.6500000001</v>
      </c>
      <c r="G58" s="165"/>
      <c r="H58" s="165"/>
      <c r="I58" s="165"/>
      <c r="J58" s="165">
        <v>700606.12</v>
      </c>
      <c r="K58" s="165">
        <v>0</v>
      </c>
      <c r="L58" s="165">
        <v>808279.3</v>
      </c>
      <c r="M58" s="165"/>
      <c r="N58" s="165">
        <v>808279.3</v>
      </c>
      <c r="O58" s="165"/>
      <c r="P58" s="165">
        <v>912477.35</v>
      </c>
      <c r="Q58" s="165">
        <v>912477.35</v>
      </c>
      <c r="R58" s="165">
        <v>94245.67</v>
      </c>
      <c r="S58" s="165">
        <v>1329269.6100000001</v>
      </c>
      <c r="T58" s="165">
        <v>0</v>
      </c>
      <c r="U58" s="165">
        <v>1303964.3700000001</v>
      </c>
      <c r="V58" s="165">
        <v>0</v>
      </c>
      <c r="W58" s="165"/>
      <c r="X58" s="165">
        <v>678775.98</v>
      </c>
      <c r="Y58" s="165">
        <v>729386.46</v>
      </c>
      <c r="Z58" s="165">
        <v>989881.62</v>
      </c>
      <c r="AA58" s="167">
        <v>444963.96</v>
      </c>
      <c r="AB58" s="165">
        <f>SUM(C58:AA58)</f>
        <v>12214849.189999999</v>
      </c>
      <c r="AC58" s="149"/>
    </row>
    <row r="59" spans="1:29" x14ac:dyDescent="0.25">
      <c r="A59" s="154">
        <v>75</v>
      </c>
      <c r="B59" s="155" t="s">
        <v>169</v>
      </c>
      <c r="C59" s="156">
        <f>+C60</f>
        <v>0</v>
      </c>
      <c r="D59" s="156">
        <f>+D60</f>
        <v>21370</v>
      </c>
      <c r="E59" s="156">
        <f>+E60</f>
        <v>0</v>
      </c>
      <c r="F59" s="156">
        <f t="shared" ref="F59:AB59" si="86">+F60</f>
        <v>0</v>
      </c>
      <c r="G59" s="156">
        <f>+G60</f>
        <v>0</v>
      </c>
      <c r="H59" s="156">
        <f t="shared" si="86"/>
        <v>500000</v>
      </c>
      <c r="I59" s="156">
        <f>+I60</f>
        <v>1230000</v>
      </c>
      <c r="J59" s="156">
        <f t="shared" ref="J59" si="87">+J60</f>
        <v>20603.18</v>
      </c>
      <c r="K59" s="156">
        <f>+K60</f>
        <v>727454.31</v>
      </c>
      <c r="L59" s="156">
        <f>+L60</f>
        <v>0</v>
      </c>
      <c r="M59" s="156">
        <f>+M60</f>
        <v>0</v>
      </c>
      <c r="N59" s="156">
        <f>+N60</f>
        <v>0</v>
      </c>
      <c r="O59" s="156">
        <f t="shared" si="86"/>
        <v>0</v>
      </c>
      <c r="P59" s="156">
        <f>+P60</f>
        <v>0</v>
      </c>
      <c r="Q59" s="156">
        <f t="shared" si="86"/>
        <v>0</v>
      </c>
      <c r="R59" s="156">
        <f>+R60</f>
        <v>0</v>
      </c>
      <c r="S59" s="156">
        <f>+S60</f>
        <v>0</v>
      </c>
      <c r="T59" s="156">
        <f>+T60</f>
        <v>189687.16</v>
      </c>
      <c r="U59" s="156">
        <f>+U60</f>
        <v>0</v>
      </c>
      <c r="V59" s="156">
        <f>+V60</f>
        <v>0</v>
      </c>
      <c r="W59" s="156">
        <f t="shared" si="86"/>
        <v>215883.31</v>
      </c>
      <c r="X59" s="156">
        <f>+X60</f>
        <v>0</v>
      </c>
      <c r="Y59" s="157">
        <f>+Y60</f>
        <v>0</v>
      </c>
      <c r="Z59" s="157">
        <v>96195</v>
      </c>
      <c r="AA59" s="179">
        <v>0</v>
      </c>
      <c r="AB59" s="156">
        <f t="shared" si="86"/>
        <v>3001192.96</v>
      </c>
      <c r="AC59" s="149"/>
    </row>
    <row r="60" spans="1:29" x14ac:dyDescent="0.25">
      <c r="A60" s="159" t="s">
        <v>278</v>
      </c>
      <c r="B60" s="160" t="s">
        <v>169</v>
      </c>
      <c r="C60" s="161">
        <f>+C61+C62</f>
        <v>0</v>
      </c>
      <c r="D60" s="161">
        <f>+D61+D62</f>
        <v>21370</v>
      </c>
      <c r="E60" s="161">
        <f>+E61+E62</f>
        <v>0</v>
      </c>
      <c r="F60" s="161">
        <f t="shared" ref="F60:AB60" si="88">+F61+F62</f>
        <v>0</v>
      </c>
      <c r="G60" s="161">
        <f>+G61+G62</f>
        <v>0</v>
      </c>
      <c r="H60" s="161">
        <f t="shared" ref="H60" si="89">+H61+H62</f>
        <v>500000</v>
      </c>
      <c r="I60" s="161">
        <f>+I61+I62</f>
        <v>1230000</v>
      </c>
      <c r="J60" s="161">
        <f t="shared" ref="J60" si="90">+J61+J62</f>
        <v>20603.18</v>
      </c>
      <c r="K60" s="161">
        <f>+K61+K62</f>
        <v>727454.31</v>
      </c>
      <c r="L60" s="161">
        <f>+L61+L62</f>
        <v>0</v>
      </c>
      <c r="M60" s="161">
        <f>+M61+M62</f>
        <v>0</v>
      </c>
      <c r="N60" s="161">
        <f>+N61+N62</f>
        <v>0</v>
      </c>
      <c r="O60" s="161">
        <f t="shared" si="88"/>
        <v>0</v>
      </c>
      <c r="P60" s="161">
        <f>+P61+P62</f>
        <v>0</v>
      </c>
      <c r="Q60" s="161">
        <f t="shared" si="88"/>
        <v>0</v>
      </c>
      <c r="R60" s="161">
        <f>+R61+R62</f>
        <v>0</v>
      </c>
      <c r="S60" s="161">
        <f>+S61+S62</f>
        <v>0</v>
      </c>
      <c r="T60" s="161">
        <f>+T61+T62</f>
        <v>189687.16</v>
      </c>
      <c r="U60" s="161">
        <f>+U61+U62</f>
        <v>0</v>
      </c>
      <c r="V60" s="161">
        <f>+V61+V62</f>
        <v>0</v>
      </c>
      <c r="W60" s="161">
        <f t="shared" si="88"/>
        <v>215883.31</v>
      </c>
      <c r="X60" s="161">
        <f>+X61+X62</f>
        <v>0</v>
      </c>
      <c r="Y60" s="161">
        <f>+Y61+Y62</f>
        <v>0</v>
      </c>
      <c r="Z60" s="161">
        <v>96195</v>
      </c>
      <c r="AA60" s="178">
        <v>0</v>
      </c>
      <c r="AB60" s="161">
        <f t="shared" si="88"/>
        <v>3001192.96</v>
      </c>
      <c r="AC60" s="149"/>
    </row>
    <row r="61" spans="1:29" x14ac:dyDescent="0.25">
      <c r="A61" s="171" t="s">
        <v>279</v>
      </c>
      <c r="B61" s="164" t="s">
        <v>280</v>
      </c>
      <c r="C61" s="165"/>
      <c r="D61" s="165">
        <v>21370</v>
      </c>
      <c r="E61" s="165">
        <v>0</v>
      </c>
      <c r="F61" s="165"/>
      <c r="G61" s="165"/>
      <c r="H61" s="165">
        <v>500000</v>
      </c>
      <c r="I61" s="165">
        <v>1230000</v>
      </c>
      <c r="J61" s="165">
        <v>20603.18</v>
      </c>
      <c r="K61" s="165">
        <v>727454.31</v>
      </c>
      <c r="L61" s="165">
        <v>0</v>
      </c>
      <c r="M61" s="165"/>
      <c r="N61" s="165"/>
      <c r="O61" s="165"/>
      <c r="P61" s="165"/>
      <c r="Q61" s="165"/>
      <c r="R61" s="165">
        <v>0</v>
      </c>
      <c r="S61" s="165"/>
      <c r="T61" s="165">
        <v>0</v>
      </c>
      <c r="U61" s="165">
        <v>0</v>
      </c>
      <c r="V61" s="165">
        <v>0</v>
      </c>
      <c r="W61" s="165">
        <v>126814.05</v>
      </c>
      <c r="X61" s="165"/>
      <c r="Y61" s="165"/>
      <c r="Z61" s="165">
        <v>96195</v>
      </c>
      <c r="AA61" s="169"/>
      <c r="AB61" s="165">
        <f>SUM(C61:AA61)</f>
        <v>2722436.54</v>
      </c>
      <c r="AC61" s="149"/>
    </row>
    <row r="62" spans="1:29" x14ac:dyDescent="0.25">
      <c r="A62" s="171" t="s">
        <v>281</v>
      </c>
      <c r="B62" s="164" t="s">
        <v>282</v>
      </c>
      <c r="C62" s="185"/>
      <c r="D62" s="185">
        <v>0</v>
      </c>
      <c r="E62" s="185">
        <v>0</v>
      </c>
      <c r="F62" s="185"/>
      <c r="G62" s="185"/>
      <c r="H62" s="185"/>
      <c r="I62" s="185"/>
      <c r="J62" s="185"/>
      <c r="K62" s="185">
        <v>0</v>
      </c>
      <c r="L62" s="185">
        <v>0</v>
      </c>
      <c r="M62" s="185"/>
      <c r="N62" s="185"/>
      <c r="O62" s="185"/>
      <c r="P62" s="185"/>
      <c r="Q62" s="185"/>
      <c r="R62" s="185">
        <v>0</v>
      </c>
      <c r="S62" s="185"/>
      <c r="T62" s="185">
        <v>189687.16</v>
      </c>
      <c r="U62" s="185"/>
      <c r="V62" s="185">
        <v>0</v>
      </c>
      <c r="W62" s="185">
        <v>89069.26</v>
      </c>
      <c r="X62" s="185"/>
      <c r="Y62" s="185"/>
      <c r="Z62" s="185">
        <v>0</v>
      </c>
      <c r="AA62" s="169"/>
      <c r="AB62" s="185">
        <f>SUM(C62:AA62)</f>
        <v>278756.42</v>
      </c>
      <c r="AC62" s="149"/>
    </row>
    <row r="63" spans="1:29" x14ac:dyDescent="0.25">
      <c r="A63" s="247" t="s">
        <v>283</v>
      </c>
      <c r="B63" s="248"/>
      <c r="C63" s="186">
        <f>C3+C40+C47+C50+C59</f>
        <v>4294036.5</v>
      </c>
      <c r="D63" s="186">
        <f>D3+D40+D47+D50+D59</f>
        <v>58559266.240000002</v>
      </c>
      <c r="E63" s="186">
        <f>E3+E40+E47+E50+E59</f>
        <v>4432525.2200000007</v>
      </c>
      <c r="F63" s="186">
        <f t="shared" ref="F63:AB63" si="91">F3+F40+F47+F50+F59</f>
        <v>22280727.129999999</v>
      </c>
      <c r="G63" s="186">
        <f>G3+G40+G47+G50+G59</f>
        <v>55102917.079999998</v>
      </c>
      <c r="H63" s="186">
        <f t="shared" si="91"/>
        <v>10578486.759999998</v>
      </c>
      <c r="I63" s="186">
        <f>I3+I40+I47+I50+I59</f>
        <v>7563867.1600000001</v>
      </c>
      <c r="J63" s="186">
        <f t="shared" ref="J63:M63" si="92">J3+J40+J47+J50+J59</f>
        <v>2990918.4899999998</v>
      </c>
      <c r="K63" s="186">
        <f>K3+K40+K47+K50+K59</f>
        <v>23996764.98</v>
      </c>
      <c r="L63" s="186">
        <f>L3+L40+L47+L50+L59</f>
        <v>7903671.2299999995</v>
      </c>
      <c r="M63" s="186">
        <f t="shared" si="92"/>
        <v>24476280.320000004</v>
      </c>
      <c r="N63" s="186">
        <f>N3+N40+N47+N50+N59</f>
        <v>7068464.0800000001</v>
      </c>
      <c r="O63" s="186">
        <f t="shared" si="91"/>
        <v>33867080.290000007</v>
      </c>
      <c r="P63" s="186">
        <f>P3+P40+P47+P50+P59</f>
        <v>4504756.58</v>
      </c>
      <c r="Q63" s="186">
        <f t="shared" si="91"/>
        <v>5933182.8499999996</v>
      </c>
      <c r="R63" s="186">
        <f>R3+R40+R47+R50+R59</f>
        <v>383222.26999999996</v>
      </c>
      <c r="S63" s="186">
        <f>S3+S40+S47+S50+S59</f>
        <v>24926663.000000004</v>
      </c>
      <c r="T63" s="186">
        <f>T3+T40+T47+T50+T59</f>
        <v>115886261.34999999</v>
      </c>
      <c r="U63" s="186">
        <f>U3+U40+U47+U50+U59</f>
        <v>9810587.8200000003</v>
      </c>
      <c r="V63" s="186">
        <f>V3+V40+V47+V50+V59</f>
        <v>27078619.07</v>
      </c>
      <c r="W63" s="186">
        <f t="shared" si="91"/>
        <v>13371459.439999999</v>
      </c>
      <c r="X63" s="186">
        <f>X3+X40+X47+X50+X59</f>
        <v>4610849.45</v>
      </c>
      <c r="Y63" s="187">
        <f>Y3+Y40+Y47+Y50+Y59</f>
        <v>5001801.2</v>
      </c>
      <c r="Z63" s="187">
        <f>Z3+Z40+Z47+Z50+Z59</f>
        <v>6515461.3499999996</v>
      </c>
      <c r="AA63" s="188">
        <f>SUM(AA3+AA40+AA47+AA50+AA59)</f>
        <v>2874756.42</v>
      </c>
      <c r="AB63" s="186">
        <f t="shared" si="91"/>
        <v>484012626.28000003</v>
      </c>
      <c r="AC63" s="149"/>
    </row>
    <row r="65" spans="10:18" x14ac:dyDescent="0.25">
      <c r="J65" s="190"/>
      <c r="R65" s="189"/>
    </row>
    <row r="66" spans="10:18" x14ac:dyDescent="0.25">
      <c r="J66" s="190"/>
    </row>
    <row r="67" spans="10:18" x14ac:dyDescent="0.25">
      <c r="J67" s="190"/>
    </row>
    <row r="68" spans="10:18" x14ac:dyDescent="0.25">
      <c r="J68" s="190"/>
    </row>
    <row r="69" spans="10:18" x14ac:dyDescent="0.25">
      <c r="J69" s="190"/>
    </row>
    <row r="70" spans="10:18" x14ac:dyDescent="0.25">
      <c r="J70" s="190"/>
    </row>
    <row r="71" spans="10:18" x14ac:dyDescent="0.25">
      <c r="J71" s="190"/>
    </row>
    <row r="72" spans="10:18" x14ac:dyDescent="0.25">
      <c r="J72" s="190"/>
    </row>
    <row r="73" spans="10:18" x14ac:dyDescent="0.25">
      <c r="J73" s="190"/>
    </row>
    <row r="74" spans="10:18" x14ac:dyDescent="0.25">
      <c r="J74" s="190"/>
    </row>
    <row r="75" spans="10:18" x14ac:dyDescent="0.25">
      <c r="J75" s="190"/>
    </row>
    <row r="76" spans="10:18" x14ac:dyDescent="0.25">
      <c r="J76" s="190"/>
    </row>
    <row r="77" spans="10:18" x14ac:dyDescent="0.25">
      <c r="J77" s="190"/>
    </row>
    <row r="78" spans="10:18" x14ac:dyDescent="0.25">
      <c r="J78" s="190"/>
    </row>
    <row r="79" spans="10:18" x14ac:dyDescent="0.25">
      <c r="J79" s="190"/>
    </row>
    <row r="80" spans="10:18" x14ac:dyDescent="0.25">
      <c r="J80" s="190"/>
    </row>
    <row r="81" spans="10:10" x14ac:dyDescent="0.25">
      <c r="J81" s="190"/>
    </row>
    <row r="82" spans="10:10" x14ac:dyDescent="0.25">
      <c r="J82" s="190"/>
    </row>
    <row r="83" spans="10:10" x14ac:dyDescent="0.25">
      <c r="J83" s="190"/>
    </row>
    <row r="84" spans="10:10" x14ac:dyDescent="0.25">
      <c r="J84" s="190"/>
    </row>
    <row r="85" spans="10:10" x14ac:dyDescent="0.25">
      <c r="J85" s="190"/>
    </row>
    <row r="86" spans="10:10" x14ac:dyDescent="0.25">
      <c r="J86" s="190"/>
    </row>
    <row r="87" spans="10:10" x14ac:dyDescent="0.25">
      <c r="J87" s="190"/>
    </row>
    <row r="88" spans="10:10" x14ac:dyDescent="0.25">
      <c r="J88" s="190"/>
    </row>
    <row r="89" spans="10:10" x14ac:dyDescent="0.25">
      <c r="J89" s="190"/>
    </row>
    <row r="90" spans="10:10" x14ac:dyDescent="0.25">
      <c r="J90" s="190"/>
    </row>
    <row r="91" spans="10:10" x14ac:dyDescent="0.25">
      <c r="J91" s="190"/>
    </row>
    <row r="92" spans="10:10" x14ac:dyDescent="0.25">
      <c r="J92" s="190"/>
    </row>
    <row r="93" spans="10:10" x14ac:dyDescent="0.25">
      <c r="J93" s="190"/>
    </row>
    <row r="94" spans="10:10" x14ac:dyDescent="0.25">
      <c r="J94" s="190"/>
    </row>
    <row r="95" spans="10:10" x14ac:dyDescent="0.25">
      <c r="J95" s="190"/>
    </row>
    <row r="96" spans="10:10" x14ac:dyDescent="0.25">
      <c r="J96" s="190"/>
    </row>
    <row r="97" spans="10:10" x14ac:dyDescent="0.25">
      <c r="J97" s="190"/>
    </row>
    <row r="98" spans="10:10" x14ac:dyDescent="0.25">
      <c r="J98" s="190"/>
    </row>
    <row r="99" spans="10:10" x14ac:dyDescent="0.25">
      <c r="J99" s="190"/>
    </row>
    <row r="100" spans="10:10" x14ac:dyDescent="0.25">
      <c r="J100" s="190"/>
    </row>
    <row r="101" spans="10:10" x14ac:dyDescent="0.25">
      <c r="J101" s="190"/>
    </row>
    <row r="102" spans="10:10" x14ac:dyDescent="0.25">
      <c r="J102" s="190"/>
    </row>
    <row r="103" spans="10:10" x14ac:dyDescent="0.25">
      <c r="J103" s="190"/>
    </row>
    <row r="104" spans="10:10" x14ac:dyDescent="0.25">
      <c r="J104" s="190"/>
    </row>
    <row r="105" spans="10:10" x14ac:dyDescent="0.25">
      <c r="J105" s="190"/>
    </row>
    <row r="106" spans="10:10" x14ac:dyDescent="0.25">
      <c r="J106" s="190"/>
    </row>
    <row r="107" spans="10:10" x14ac:dyDescent="0.25">
      <c r="J107" s="190"/>
    </row>
    <row r="108" spans="10:10" x14ac:dyDescent="0.25">
      <c r="J108" s="190"/>
    </row>
    <row r="109" spans="10:10" x14ac:dyDescent="0.25">
      <c r="J109" s="190"/>
    </row>
    <row r="110" spans="10:10" x14ac:dyDescent="0.25">
      <c r="J110" s="190"/>
    </row>
    <row r="111" spans="10:10" x14ac:dyDescent="0.25">
      <c r="J111" s="190"/>
    </row>
    <row r="112" spans="10:10" x14ac:dyDescent="0.25">
      <c r="J112" s="190"/>
    </row>
    <row r="113" spans="10:10" x14ac:dyDescent="0.25">
      <c r="J113" s="190"/>
    </row>
    <row r="114" spans="10:10" x14ac:dyDescent="0.25">
      <c r="J114" s="190"/>
    </row>
    <row r="115" spans="10:10" x14ac:dyDescent="0.25">
      <c r="J115" s="190"/>
    </row>
    <row r="116" spans="10:10" x14ac:dyDescent="0.25">
      <c r="J116" s="190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9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tabSelected="1" zoomScaleNormal="100" workbookViewId="0">
      <pane xSplit="2" ySplit="2" topLeftCell="S3" activePane="bottomRight" state="frozen"/>
      <selection pane="topRight" activeCell="C1" sqref="C1"/>
      <selection pane="bottomLeft" activeCell="A3" sqref="A3"/>
      <selection pane="bottomRight" activeCell="B110" sqref="B110"/>
    </sheetView>
  </sheetViews>
  <sheetFormatPr defaultRowHeight="15" x14ac:dyDescent="0.25"/>
  <cols>
    <col min="1" max="1" width="10.7109375" style="146" customWidth="1"/>
    <col min="2" max="2" width="62.42578125" style="146" bestFit="1" customWidth="1"/>
    <col min="3" max="3" width="13.7109375" style="147" customWidth="1"/>
    <col min="4" max="4" width="15" style="212" bestFit="1" customWidth="1"/>
    <col min="5" max="5" width="13.7109375" style="213" customWidth="1"/>
    <col min="6" max="6" width="14.28515625" style="213" bestFit="1" customWidth="1"/>
    <col min="7" max="8" width="16" style="213" customWidth="1"/>
    <col min="9" max="9" width="14.85546875" style="213" customWidth="1"/>
    <col min="10" max="10" width="13.7109375" style="213" customWidth="1"/>
    <col min="11" max="11" width="14.5703125" style="213" customWidth="1"/>
    <col min="12" max="12" width="13.7109375" style="213" customWidth="1"/>
    <col min="13" max="13" width="15.5703125" style="149" customWidth="1"/>
    <col min="14" max="14" width="13.7109375" style="213" customWidth="1"/>
    <col min="15" max="15" width="16.85546875" style="212" customWidth="1"/>
    <col min="16" max="18" width="13.7109375" style="213" customWidth="1"/>
    <col min="19" max="20" width="15.85546875" style="213" customWidth="1"/>
    <col min="21" max="21" width="15.42578125" style="213" customWidth="1"/>
    <col min="22" max="22" width="15.28515625" style="212" customWidth="1"/>
    <col min="23" max="23" width="14.5703125" style="147" bestFit="1" customWidth="1"/>
    <col min="24" max="26" width="13.7109375" style="213" customWidth="1"/>
    <col min="27" max="27" width="15.85546875" style="213" customWidth="1"/>
    <col min="28" max="28" width="19" style="146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5">
      <c r="A1" s="250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251"/>
      <c r="AB1" s="252"/>
    </row>
    <row r="2" spans="1:31" ht="24" customHeight="1" x14ac:dyDescent="0.25">
      <c r="A2" s="151" t="s">
        <v>443</v>
      </c>
      <c r="B2" s="151" t="s">
        <v>1</v>
      </c>
      <c r="C2" s="151" t="s">
        <v>2</v>
      </c>
      <c r="D2" s="191" t="s">
        <v>3</v>
      </c>
      <c r="E2" s="151" t="s">
        <v>4</v>
      </c>
      <c r="F2" s="151" t="s">
        <v>5</v>
      </c>
      <c r="G2" s="151" t="s">
        <v>6</v>
      </c>
      <c r="H2" s="151" t="s">
        <v>22</v>
      </c>
      <c r="I2" s="151" t="s">
        <v>7</v>
      </c>
      <c r="J2" s="151" t="s">
        <v>8</v>
      </c>
      <c r="K2" s="151" t="s">
        <v>9</v>
      </c>
      <c r="L2" s="151" t="s">
        <v>10</v>
      </c>
      <c r="M2" s="191" t="s">
        <v>11</v>
      </c>
      <c r="N2" s="151" t="s">
        <v>12</v>
      </c>
      <c r="O2" s="191" t="s">
        <v>13</v>
      </c>
      <c r="P2" s="151" t="s">
        <v>14</v>
      </c>
      <c r="Q2" s="151" t="s">
        <v>15</v>
      </c>
      <c r="R2" s="151" t="s">
        <v>16</v>
      </c>
      <c r="S2" s="151" t="s">
        <v>17</v>
      </c>
      <c r="T2" s="151" t="s">
        <v>18</v>
      </c>
      <c r="U2" s="151" t="s">
        <v>19</v>
      </c>
      <c r="V2" s="191" t="s">
        <v>20</v>
      </c>
      <c r="W2" s="151" t="s">
        <v>21</v>
      </c>
      <c r="X2" s="151" t="s">
        <v>23</v>
      </c>
      <c r="Y2" s="151" t="s">
        <v>24</v>
      </c>
      <c r="Z2" s="151" t="s">
        <v>25</v>
      </c>
      <c r="AA2" s="151" t="s">
        <v>326</v>
      </c>
      <c r="AB2" s="151" t="s">
        <v>26</v>
      </c>
    </row>
    <row r="3" spans="1:31" x14ac:dyDescent="0.25">
      <c r="A3" s="154" t="s">
        <v>27</v>
      </c>
      <c r="B3" s="155" t="s">
        <v>28</v>
      </c>
      <c r="C3" s="156">
        <f>C4+C58+C59</f>
        <v>2285756.54</v>
      </c>
      <c r="D3" s="156">
        <f>D4+D58+D59</f>
        <v>12069227.98</v>
      </c>
      <c r="E3" s="156">
        <f>E4+E58+E59</f>
        <v>3087617.08</v>
      </c>
      <c r="F3" s="156">
        <f t="shared" ref="F3:W3" si="0">F4+F58+F59</f>
        <v>8648655.9099999983</v>
      </c>
      <c r="G3" s="156">
        <f>G4+G58+G59</f>
        <v>21545713.98</v>
      </c>
      <c r="H3" s="156">
        <f t="shared" si="0"/>
        <v>7181272.6699999999</v>
      </c>
      <c r="I3" s="156">
        <f>I4+I58+I59</f>
        <v>3892933.0300000003</v>
      </c>
      <c r="J3" s="156">
        <f t="shared" si="0"/>
        <v>1771420.07</v>
      </c>
      <c r="K3" s="156">
        <f>K4+K58+K59</f>
        <v>13388850.449999999</v>
      </c>
      <c r="L3" s="156">
        <f>L4+L58+L59</f>
        <v>3066143.2600000002</v>
      </c>
      <c r="M3" s="156">
        <f>M4+M58+M59</f>
        <v>11904056.57</v>
      </c>
      <c r="N3" s="156">
        <f>N4+N58+N59</f>
        <v>2843672.55</v>
      </c>
      <c r="O3" s="156">
        <f t="shared" si="0"/>
        <v>18377641.899999999</v>
      </c>
      <c r="P3" s="156">
        <f>P4+P58+P59</f>
        <v>948902.34000000008</v>
      </c>
      <c r="Q3" s="156">
        <f t="shared" si="0"/>
        <v>3058041.1599999997</v>
      </c>
      <c r="R3" s="156">
        <f>R4+R58+R59</f>
        <v>339531.15</v>
      </c>
      <c r="S3" s="156">
        <f>S4+S58+S59</f>
        <v>11370092.939999999</v>
      </c>
      <c r="T3" s="156">
        <f>T4+T58+T59</f>
        <v>38314586.460000001</v>
      </c>
      <c r="U3" s="156">
        <f>U4+U58+U59</f>
        <v>5488117.6500000004</v>
      </c>
      <c r="V3" s="156">
        <f>V4+V58+V59</f>
        <v>9681435.1400000006</v>
      </c>
      <c r="W3" s="156">
        <f t="shared" si="0"/>
        <v>7741935.2799999993</v>
      </c>
      <c r="X3" s="156">
        <f>X4+X58+X59</f>
        <v>1971848.22</v>
      </c>
      <c r="Y3" s="157">
        <f>Y4+Y58+Y59</f>
        <v>1475583.8899999997</v>
      </c>
      <c r="Z3" s="157">
        <v>4159595.82</v>
      </c>
      <c r="AA3" s="179">
        <f>SUM(AA4+AA58+AA59)</f>
        <v>1150214.8800000001</v>
      </c>
      <c r="AB3" s="156">
        <f>AB4+AB58+AB59</f>
        <v>195762846.92000002</v>
      </c>
      <c r="AD3" s="149"/>
      <c r="AE3" s="149"/>
    </row>
    <row r="4" spans="1:31" x14ac:dyDescent="0.25">
      <c r="A4" s="192">
        <v>41</v>
      </c>
      <c r="B4" s="193" t="s">
        <v>28</v>
      </c>
      <c r="C4" s="194">
        <f t="shared" ref="C4:E4" si="1">C5+C11+C19+C26+C36+C41+C44+C48+C49</f>
        <v>1113978.9300000002</v>
      </c>
      <c r="D4" s="194">
        <f t="shared" si="1"/>
        <v>4859370.54</v>
      </c>
      <c r="E4" s="194">
        <f t="shared" si="1"/>
        <v>1178855.72</v>
      </c>
      <c r="F4" s="194">
        <f t="shared" ref="F4:R4" si="2">F5+F11+F19+F26+F36+F41+F44+F48+F49</f>
        <v>3846050.9399999995</v>
      </c>
      <c r="G4" s="194">
        <f t="shared" si="2"/>
        <v>9533259.9900000002</v>
      </c>
      <c r="H4" s="194">
        <f t="shared" si="2"/>
        <v>3999474.3900000006</v>
      </c>
      <c r="I4" s="194">
        <f t="shared" si="2"/>
        <v>2977935.73</v>
      </c>
      <c r="J4" s="194">
        <f t="shared" si="2"/>
        <v>1034565.29</v>
      </c>
      <c r="K4" s="194">
        <f t="shared" si="2"/>
        <v>5180751.5799999991</v>
      </c>
      <c r="L4" s="194">
        <f t="shared" si="2"/>
        <v>2081575.8800000001</v>
      </c>
      <c r="M4" s="194">
        <f t="shared" si="2"/>
        <v>6231126.2800000012</v>
      </c>
      <c r="N4" s="194">
        <f t="shared" si="2"/>
        <v>1878032.18</v>
      </c>
      <c r="O4" s="194">
        <f t="shared" si="2"/>
        <v>7602977.6699999999</v>
      </c>
      <c r="P4" s="194">
        <f t="shared" si="2"/>
        <v>602183.60000000009</v>
      </c>
      <c r="Q4" s="194">
        <f t="shared" si="2"/>
        <v>1487114.2799999998</v>
      </c>
      <c r="R4" s="194">
        <f t="shared" si="2"/>
        <v>206686.48</v>
      </c>
      <c r="S4" s="194">
        <f>S5+S11+S19+S26+S36+S41+S44+S48+S49</f>
        <v>7170187.8699999992</v>
      </c>
      <c r="T4" s="194">
        <f t="shared" ref="T4:V4" si="3">T5+T11+T19+T26+T36+T41+T44+T48+T49</f>
        <v>18798396.290000003</v>
      </c>
      <c r="U4" s="194">
        <f t="shared" si="3"/>
        <v>2342411.23</v>
      </c>
      <c r="V4" s="194">
        <f t="shared" si="3"/>
        <v>3855182.9299999997</v>
      </c>
      <c r="W4" s="194">
        <f t="shared" ref="W4:Y4" si="4">W5+W11+W19+W26+W36+W41+W44+W48+W49</f>
        <v>5036795.01</v>
      </c>
      <c r="X4" s="194">
        <f t="shared" si="4"/>
        <v>1174725.07</v>
      </c>
      <c r="Y4" s="195">
        <f t="shared" si="4"/>
        <v>718264.96999999986</v>
      </c>
      <c r="Z4" s="195">
        <v>2234514.8199999998</v>
      </c>
      <c r="AA4" s="196">
        <f>SUM(AA5+AA11+AA19+AA26+AA36+AA41+AA44+AA48+AA49)</f>
        <v>731684.43</v>
      </c>
      <c r="AB4" s="194">
        <f>AB5+AB11+AB19+AB26+AB36+AB41+AB44+AB48+AB49</f>
        <v>95876102.100000009</v>
      </c>
      <c r="AD4" s="149"/>
      <c r="AE4" s="149"/>
    </row>
    <row r="5" spans="1:31" x14ac:dyDescent="0.25">
      <c r="A5" s="159">
        <v>411</v>
      </c>
      <c r="B5" s="160" t="s">
        <v>29</v>
      </c>
      <c r="C5" s="161">
        <f>SUM(C6:C10)</f>
        <v>718880.87</v>
      </c>
      <c r="D5" s="161">
        <f>SUM(D6:D10)</f>
        <v>2980163.2199999997</v>
      </c>
      <c r="E5" s="161">
        <f>SUM(E6:E10)</f>
        <v>776135.26</v>
      </c>
      <c r="F5" s="161">
        <f t="shared" ref="F5:W5" si="5">SUM(F6:F10)</f>
        <v>2526834.9499999997</v>
      </c>
      <c r="G5" s="161">
        <f>SUM(G6:G10)</f>
        <v>5933412.6600000011</v>
      </c>
      <c r="H5" s="161">
        <f t="shared" si="5"/>
        <v>2012665.32</v>
      </c>
      <c r="I5" s="161">
        <f>SUM(I6:I10)</f>
        <v>1614912.2</v>
      </c>
      <c r="J5" s="161">
        <f t="shared" si="5"/>
        <v>717728.83000000007</v>
      </c>
      <c r="K5" s="161">
        <f>SUM(K6:K10)</f>
        <v>2957085.2099999995</v>
      </c>
      <c r="L5" s="161">
        <f>SUM(L6:L10)</f>
        <v>896119.61</v>
      </c>
      <c r="M5" s="161">
        <f>SUM(M6:M10)</f>
        <v>3096075.2300000004</v>
      </c>
      <c r="N5" s="161">
        <f>SUM(N6:N10)</f>
        <v>923499.07999999984</v>
      </c>
      <c r="O5" s="161">
        <f t="shared" si="5"/>
        <v>4251345.4000000004</v>
      </c>
      <c r="P5" s="161">
        <f>SUM(P6:P10)</f>
        <v>388463.05000000005</v>
      </c>
      <c r="Q5" s="161">
        <f t="shared" si="5"/>
        <v>1215042.3299999998</v>
      </c>
      <c r="R5" s="161">
        <f>SUM(R6:R10)</f>
        <v>57901.520000000004</v>
      </c>
      <c r="S5" s="161">
        <f>SUM(S6:S10)</f>
        <v>3100684.1799999997</v>
      </c>
      <c r="T5" s="161">
        <f>SUM(T6:T10)</f>
        <v>12049711.880000001</v>
      </c>
      <c r="U5" s="161">
        <f>SUM(U6:U10)</f>
        <v>1813672.06</v>
      </c>
      <c r="V5" s="161">
        <f>SUM(V6:V10)</f>
        <v>1814516.06</v>
      </c>
      <c r="W5" s="161">
        <f t="shared" si="5"/>
        <v>2828334.47</v>
      </c>
      <c r="X5" s="161">
        <f>SUM(X6:X10)</f>
        <v>626507.13</v>
      </c>
      <c r="Y5" s="161">
        <f>SUM(Y6:Y10)</f>
        <v>343947.33999999997</v>
      </c>
      <c r="Z5" s="161">
        <v>1097364.8799999999</v>
      </c>
      <c r="AA5" s="162">
        <f>SUM(AA6:AA10)</f>
        <v>316432.55</v>
      </c>
      <c r="AB5" s="161">
        <f t="shared" ref="AB5" si="6">SUM(AB6:AB10)</f>
        <v>55057435.289999999</v>
      </c>
      <c r="AD5" s="149"/>
      <c r="AE5" s="149"/>
    </row>
    <row r="6" spans="1:31" x14ac:dyDescent="0.25">
      <c r="A6" s="171" t="s">
        <v>30</v>
      </c>
      <c r="B6" s="164" t="s">
        <v>31</v>
      </c>
      <c r="C6" s="165">
        <v>600408.05000000005</v>
      </c>
      <c r="D6" s="165">
        <v>2419637.54</v>
      </c>
      <c r="E6" s="165">
        <v>770944.5</v>
      </c>
      <c r="F6" s="165">
        <v>2522751.65</v>
      </c>
      <c r="G6" s="165">
        <v>4745635.91</v>
      </c>
      <c r="H6" s="165">
        <v>1661014.54</v>
      </c>
      <c r="I6" s="165">
        <v>1325232.8</v>
      </c>
      <c r="J6" s="165">
        <v>612209.03</v>
      </c>
      <c r="K6" s="165">
        <v>2461588.5</v>
      </c>
      <c r="L6" s="165">
        <v>737517.2</v>
      </c>
      <c r="M6" s="165">
        <v>2521708.61</v>
      </c>
      <c r="N6" s="165">
        <v>766265.59</v>
      </c>
      <c r="O6" s="165">
        <v>3486879.69</v>
      </c>
      <c r="P6" s="165">
        <v>322550.71000000002</v>
      </c>
      <c r="Q6" s="165">
        <v>1011081.8200000001</v>
      </c>
      <c r="R6" s="165">
        <v>48624.86</v>
      </c>
      <c r="S6" s="165">
        <v>2555920.2999999998</v>
      </c>
      <c r="T6" s="165">
        <v>9921252.8300000001</v>
      </c>
      <c r="U6" s="165">
        <v>1811872.04</v>
      </c>
      <c r="V6" s="165">
        <v>1473697.65</v>
      </c>
      <c r="W6" s="165">
        <v>2285673.9700000002</v>
      </c>
      <c r="X6" s="165">
        <v>522431.25</v>
      </c>
      <c r="Y6" s="165">
        <v>293024.3</v>
      </c>
      <c r="Z6" s="165">
        <v>919323.31</v>
      </c>
      <c r="AA6" s="197">
        <v>264880.44</v>
      </c>
      <c r="AB6" s="165">
        <f>SUM(SUM(C6:AA6))</f>
        <v>46062127.089999996</v>
      </c>
      <c r="AD6" s="149"/>
      <c r="AE6" s="149"/>
    </row>
    <row r="7" spans="1:31" x14ac:dyDescent="0.25">
      <c r="A7" s="171" t="s">
        <v>32</v>
      </c>
      <c r="B7" s="164" t="s">
        <v>33</v>
      </c>
      <c r="C7" s="165">
        <v>23980.39</v>
      </c>
      <c r="D7" s="165">
        <v>135989.01</v>
      </c>
      <c r="E7" s="165">
        <v>1033.77</v>
      </c>
      <c r="F7" s="165">
        <v>0</v>
      </c>
      <c r="G7" s="165">
        <v>361847.11</v>
      </c>
      <c r="H7" s="165">
        <v>78485.100000000006</v>
      </c>
      <c r="I7" s="165">
        <v>65634.81</v>
      </c>
      <c r="J7" s="165">
        <v>20995.3</v>
      </c>
      <c r="K7" s="165">
        <v>128288.9</v>
      </c>
      <c r="L7" s="165">
        <v>38403.160000000003</v>
      </c>
      <c r="M7" s="165">
        <v>161644.72</v>
      </c>
      <c r="N7" s="165">
        <v>34239.07</v>
      </c>
      <c r="O7" s="165">
        <v>171382.84</v>
      </c>
      <c r="P7" s="165">
        <v>18139.560000000001</v>
      </c>
      <c r="Q7" s="165">
        <v>36367.369999999995</v>
      </c>
      <c r="R7" s="165">
        <v>1762.28</v>
      </c>
      <c r="S7" s="165">
        <v>129348.55</v>
      </c>
      <c r="T7" s="165">
        <v>514978.14</v>
      </c>
      <c r="U7" s="165">
        <v>0</v>
      </c>
      <c r="V7" s="165">
        <v>87736.62</v>
      </c>
      <c r="W7" s="165">
        <v>142751.73000000001</v>
      </c>
      <c r="X7" s="165">
        <v>27968.95</v>
      </c>
      <c r="Y7" s="165">
        <v>11230.27</v>
      </c>
      <c r="Z7" s="165">
        <v>39613.21</v>
      </c>
      <c r="AA7" s="197">
        <v>11398.49</v>
      </c>
      <c r="AB7" s="165">
        <f>SUM(C7:AA7)</f>
        <v>2243219.350000001</v>
      </c>
      <c r="AD7" s="149"/>
      <c r="AE7" s="149"/>
    </row>
    <row r="8" spans="1:31" x14ac:dyDescent="0.25">
      <c r="A8" s="171" t="s">
        <v>34</v>
      </c>
      <c r="B8" s="164" t="s">
        <v>35</v>
      </c>
      <c r="C8" s="165">
        <v>73341.09</v>
      </c>
      <c r="D8" s="165">
        <v>299577.58</v>
      </c>
      <c r="E8" s="165">
        <v>2772.03</v>
      </c>
      <c r="F8" s="165">
        <v>0</v>
      </c>
      <c r="G8" s="165">
        <v>598641.02</v>
      </c>
      <c r="H8" s="165">
        <v>204031.01</v>
      </c>
      <c r="I8" s="165">
        <v>163169.67000000001</v>
      </c>
      <c r="J8" s="165">
        <v>74342.52</v>
      </c>
      <c r="K8" s="165">
        <v>302630.24</v>
      </c>
      <c r="L8" s="165">
        <v>89493.46</v>
      </c>
      <c r="M8" s="165">
        <v>364664.74000000005</v>
      </c>
      <c r="N8" s="165">
        <v>93356.94</v>
      </c>
      <c r="O8" s="165">
        <v>428777.6</v>
      </c>
      <c r="P8" s="165">
        <v>39259.26</v>
      </c>
      <c r="Q8" s="165">
        <v>119561.27</v>
      </c>
      <c r="R8" s="165">
        <v>5910.97</v>
      </c>
      <c r="S8" s="165">
        <v>315357.31</v>
      </c>
      <c r="T8" s="165">
        <v>1222954.43</v>
      </c>
      <c r="U8" s="165">
        <v>0</v>
      </c>
      <c r="V8" s="165">
        <v>179459.83</v>
      </c>
      <c r="W8" s="165">
        <v>281452.76</v>
      </c>
      <c r="X8" s="165">
        <v>64572.55</v>
      </c>
      <c r="Y8" s="165">
        <v>35819.01</v>
      </c>
      <c r="Z8" s="165">
        <v>112797.96</v>
      </c>
      <c r="AA8" s="169">
        <v>32886.81</v>
      </c>
      <c r="AB8" s="165">
        <f>SUM(C8:AA8)</f>
        <v>5104830.0599999987</v>
      </c>
      <c r="AD8" s="149"/>
      <c r="AE8" s="149"/>
    </row>
    <row r="9" spans="1:31" x14ac:dyDescent="0.25">
      <c r="A9" s="171" t="s">
        <v>36</v>
      </c>
      <c r="B9" s="164" t="s">
        <v>37</v>
      </c>
      <c r="C9" s="165">
        <v>18062.5</v>
      </c>
      <c r="D9" s="165">
        <v>107307.83</v>
      </c>
      <c r="E9" s="165">
        <v>1384.96</v>
      </c>
      <c r="F9" s="165">
        <v>4083.3</v>
      </c>
      <c r="G9" s="165">
        <v>191097.12</v>
      </c>
      <c r="H9" s="165">
        <v>57360.63</v>
      </c>
      <c r="I9" s="165">
        <v>52342.39</v>
      </c>
      <c r="J9" s="165">
        <v>6268.86</v>
      </c>
      <c r="K9" s="165">
        <v>47900</v>
      </c>
      <c r="L9" s="165">
        <v>25713.52</v>
      </c>
      <c r="M9" s="165">
        <v>27042.75</v>
      </c>
      <c r="N9" s="165">
        <v>25164.04</v>
      </c>
      <c r="O9" s="165">
        <v>142025.66</v>
      </c>
      <c r="P9" s="165">
        <v>8513.52</v>
      </c>
      <c r="Q9" s="165">
        <v>43254.73</v>
      </c>
      <c r="R9" s="165">
        <v>1371.8</v>
      </c>
      <c r="S9" s="165">
        <v>83228.52</v>
      </c>
      <c r="T9" s="165">
        <v>313318.84000000003</v>
      </c>
      <c r="U9" s="165">
        <v>1800.02</v>
      </c>
      <c r="V9" s="165">
        <v>62215.8</v>
      </c>
      <c r="W9" s="165">
        <v>100084.29</v>
      </c>
      <c r="X9" s="165">
        <v>7972.08</v>
      </c>
      <c r="Y9" s="165">
        <v>2374.91</v>
      </c>
      <c r="Z9" s="165">
        <v>20102.22</v>
      </c>
      <c r="AA9" s="169">
        <v>5785.04</v>
      </c>
      <c r="AB9" s="165">
        <f>SUM(C9:AA9)</f>
        <v>1355775.3300000003</v>
      </c>
      <c r="AD9" s="149"/>
      <c r="AE9" s="149"/>
    </row>
    <row r="10" spans="1:31" x14ac:dyDescent="0.25">
      <c r="A10" s="171" t="s">
        <v>38</v>
      </c>
      <c r="B10" s="164" t="s">
        <v>39</v>
      </c>
      <c r="C10" s="165">
        <v>3088.84</v>
      </c>
      <c r="D10" s="165">
        <v>17651.259999999998</v>
      </c>
      <c r="E10" s="165">
        <v>0</v>
      </c>
      <c r="F10" s="165">
        <v>0</v>
      </c>
      <c r="G10" s="165">
        <v>36191.5</v>
      </c>
      <c r="H10" s="165">
        <v>11774.04</v>
      </c>
      <c r="I10" s="165">
        <v>8532.5300000000007</v>
      </c>
      <c r="J10" s="165">
        <v>3913.12</v>
      </c>
      <c r="K10" s="165">
        <v>16677.57</v>
      </c>
      <c r="L10" s="165">
        <v>4992.2700000000004</v>
      </c>
      <c r="M10" s="165">
        <v>21014.41</v>
      </c>
      <c r="N10" s="165">
        <v>4473.4399999999996</v>
      </c>
      <c r="O10" s="165">
        <v>22279.61</v>
      </c>
      <c r="P10" s="165">
        <v>0</v>
      </c>
      <c r="Q10" s="165">
        <v>4777.1400000000003</v>
      </c>
      <c r="R10" s="165">
        <v>231.61</v>
      </c>
      <c r="S10" s="165">
        <v>16829.5</v>
      </c>
      <c r="T10" s="165">
        <v>77207.64</v>
      </c>
      <c r="U10" s="165">
        <v>0</v>
      </c>
      <c r="V10" s="165">
        <v>11406.16</v>
      </c>
      <c r="W10" s="165">
        <v>18371.72</v>
      </c>
      <c r="X10" s="165">
        <v>3562.3</v>
      </c>
      <c r="Y10" s="165">
        <v>1498.85</v>
      </c>
      <c r="Z10" s="165">
        <v>5528.18</v>
      </c>
      <c r="AA10" s="169">
        <v>1481.77</v>
      </c>
      <c r="AB10" s="165">
        <f>SUM(C10:AA10)</f>
        <v>291483.45999999996</v>
      </c>
      <c r="AD10" s="149"/>
      <c r="AE10" s="149"/>
    </row>
    <row r="11" spans="1:31" x14ac:dyDescent="0.25">
      <c r="A11" s="159">
        <v>412</v>
      </c>
      <c r="B11" s="160" t="s">
        <v>40</v>
      </c>
      <c r="C11" s="161">
        <f t="shared" ref="C11:E11" si="7">SUM(C12:C18)</f>
        <v>91409.37000000001</v>
      </c>
      <c r="D11" s="161">
        <f t="shared" si="7"/>
        <v>152892.45000000001</v>
      </c>
      <c r="E11" s="161">
        <f t="shared" si="7"/>
        <v>35507.4</v>
      </c>
      <c r="F11" s="161">
        <f t="shared" ref="F11:W11" si="8">SUM(F12:F18)</f>
        <v>114672.5</v>
      </c>
      <c r="G11" s="161">
        <f t="shared" ref="G11" si="9">SUM(G12:G18)</f>
        <v>494385.69</v>
      </c>
      <c r="H11" s="161">
        <f t="shared" si="8"/>
        <v>64846.080000000002</v>
      </c>
      <c r="I11" s="161">
        <f t="shared" ref="I11" si="10">SUM(I12:I18)</f>
        <v>60956.079999999994</v>
      </c>
      <c r="J11" s="161">
        <f t="shared" si="8"/>
        <v>83731.09</v>
      </c>
      <c r="K11" s="161">
        <f t="shared" ref="K11:L11" si="11">SUM(K12:K18)</f>
        <v>266691.07</v>
      </c>
      <c r="L11" s="161">
        <f t="shared" si="11"/>
        <v>156600.81</v>
      </c>
      <c r="M11" s="161">
        <f t="shared" ref="M11" si="12">SUM(M12:M18)</f>
        <v>231967.94</v>
      </c>
      <c r="N11" s="161">
        <f t="shared" ref="N11" si="13">SUM(N12:N18)</f>
        <v>131625.82999999999</v>
      </c>
      <c r="O11" s="161">
        <f t="shared" si="8"/>
        <v>361163.08999999997</v>
      </c>
      <c r="P11" s="161">
        <f t="shared" ref="P11" si="14">SUM(P12:P18)</f>
        <v>27310</v>
      </c>
      <c r="Q11" s="161">
        <f t="shared" si="8"/>
        <v>52948</v>
      </c>
      <c r="R11" s="161">
        <f t="shared" ref="R11" si="15">SUM(R12:R18)</f>
        <v>6317.91</v>
      </c>
      <c r="S11" s="161">
        <f>SUM(S12:S18)</f>
        <v>248212.02999999997</v>
      </c>
      <c r="T11" s="161">
        <f t="shared" ref="T11:V11" si="16">SUM(T12:T18)</f>
        <v>601010.41</v>
      </c>
      <c r="U11" s="161">
        <f t="shared" si="16"/>
        <v>62014</v>
      </c>
      <c r="V11" s="161">
        <f t="shared" si="16"/>
        <v>167653.39000000001</v>
      </c>
      <c r="W11" s="161">
        <f t="shared" si="8"/>
        <v>211082.65</v>
      </c>
      <c r="X11" s="161">
        <f t="shared" ref="X11" si="17">SUM(X12:X18)</f>
        <v>57805.69</v>
      </c>
      <c r="Y11" s="161">
        <f t="shared" ref="Y11" si="18">SUM(Y12:Y18)</f>
        <v>30617.74</v>
      </c>
      <c r="Z11" s="161">
        <v>133934.19</v>
      </c>
      <c r="AA11" s="198">
        <f>SUM(AA12:AA18)</f>
        <v>34648.699999999997</v>
      </c>
      <c r="AB11" s="161">
        <f>SUM(AB12:AB18)</f>
        <v>3880004.1099999994</v>
      </c>
      <c r="AD11" s="149"/>
      <c r="AE11" s="149"/>
    </row>
    <row r="12" spans="1:31" x14ac:dyDescent="0.25">
      <c r="A12" s="171" t="s">
        <v>41</v>
      </c>
      <c r="B12" s="164" t="s">
        <v>42</v>
      </c>
      <c r="C12" s="173"/>
      <c r="D12" s="173">
        <v>0</v>
      </c>
      <c r="E12" s="173">
        <v>0</v>
      </c>
      <c r="F12" s="173">
        <v>0</v>
      </c>
      <c r="G12" s="173"/>
      <c r="H12" s="173">
        <v>0</v>
      </c>
      <c r="I12" s="173">
        <v>0</v>
      </c>
      <c r="J12" s="173"/>
      <c r="K12" s="173">
        <v>0</v>
      </c>
      <c r="L12" s="173">
        <v>45450</v>
      </c>
      <c r="M12" s="173">
        <v>0</v>
      </c>
      <c r="N12" s="173">
        <v>18044.32</v>
      </c>
      <c r="O12" s="173">
        <v>0</v>
      </c>
      <c r="P12" s="173"/>
      <c r="Q12" s="173">
        <v>0</v>
      </c>
      <c r="R12" s="173">
        <v>0</v>
      </c>
      <c r="S12" s="173">
        <v>0</v>
      </c>
      <c r="T12" s="173">
        <v>0</v>
      </c>
      <c r="U12" s="173"/>
      <c r="V12" s="173">
        <v>0</v>
      </c>
      <c r="W12" s="173">
        <v>0</v>
      </c>
      <c r="X12" s="173"/>
      <c r="Y12" s="173"/>
      <c r="Z12" s="173">
        <v>20340</v>
      </c>
      <c r="AA12" s="197">
        <v>0</v>
      </c>
      <c r="AB12" s="173">
        <f>SUM(C12:AA12)</f>
        <v>83834.320000000007</v>
      </c>
      <c r="AD12" s="149"/>
      <c r="AE12" s="149"/>
    </row>
    <row r="13" spans="1:31" x14ac:dyDescent="0.25">
      <c r="A13" s="171" t="s">
        <v>43</v>
      </c>
      <c r="B13" s="164" t="s">
        <v>44</v>
      </c>
      <c r="C13" s="173"/>
      <c r="D13" s="173">
        <v>0</v>
      </c>
      <c r="E13" s="173">
        <v>0</v>
      </c>
      <c r="F13" s="173">
        <v>0</v>
      </c>
      <c r="G13" s="173"/>
      <c r="H13" s="173">
        <v>0</v>
      </c>
      <c r="I13" s="173"/>
      <c r="J13" s="173"/>
      <c r="K13" s="173">
        <v>0</v>
      </c>
      <c r="L13" s="173">
        <v>0</v>
      </c>
      <c r="M13" s="173">
        <v>0</v>
      </c>
      <c r="N13" s="173">
        <v>0</v>
      </c>
      <c r="O13" s="173">
        <v>0</v>
      </c>
      <c r="P13" s="173"/>
      <c r="Q13" s="173">
        <v>0</v>
      </c>
      <c r="R13" s="173">
        <v>0</v>
      </c>
      <c r="S13" s="173">
        <v>0</v>
      </c>
      <c r="T13" s="173">
        <v>0</v>
      </c>
      <c r="U13" s="173"/>
      <c r="V13" s="173">
        <v>0</v>
      </c>
      <c r="W13" s="173">
        <v>0</v>
      </c>
      <c r="X13" s="173"/>
      <c r="Y13" s="173"/>
      <c r="Z13" s="173">
        <v>0</v>
      </c>
      <c r="AA13" s="197">
        <v>1530</v>
      </c>
      <c r="AB13" s="173">
        <f>SUM(C13:AA13)</f>
        <v>1530</v>
      </c>
      <c r="AD13" s="149"/>
      <c r="AE13" s="149"/>
    </row>
    <row r="14" spans="1:31" x14ac:dyDescent="0.25">
      <c r="A14" s="171" t="s">
        <v>45</v>
      </c>
      <c r="B14" s="164" t="s">
        <v>46</v>
      </c>
      <c r="C14" s="173"/>
      <c r="D14" s="173">
        <v>27888.6</v>
      </c>
      <c r="E14" s="173">
        <v>0</v>
      </c>
      <c r="F14" s="173">
        <v>0</v>
      </c>
      <c r="G14" s="173"/>
      <c r="H14" s="173">
        <v>0</v>
      </c>
      <c r="I14" s="173"/>
      <c r="J14" s="173"/>
      <c r="K14" s="173">
        <v>0</v>
      </c>
      <c r="L14" s="173">
        <v>0</v>
      </c>
      <c r="M14" s="173">
        <v>79591.5</v>
      </c>
      <c r="N14" s="173">
        <v>0</v>
      </c>
      <c r="O14" s="173">
        <v>0</v>
      </c>
      <c r="P14" s="173"/>
      <c r="Q14" s="173">
        <v>0</v>
      </c>
      <c r="R14" s="173">
        <v>0</v>
      </c>
      <c r="S14" s="173">
        <v>0</v>
      </c>
      <c r="T14" s="173">
        <v>0</v>
      </c>
      <c r="U14" s="173"/>
      <c r="V14" s="173">
        <v>27692.79</v>
      </c>
      <c r="W14" s="173">
        <v>0</v>
      </c>
      <c r="X14" s="173"/>
      <c r="Y14" s="173"/>
      <c r="Z14" s="173">
        <v>0</v>
      </c>
      <c r="AA14" s="197">
        <v>0</v>
      </c>
      <c r="AB14" s="173">
        <f>SUM(C14:AA14)</f>
        <v>135172.89000000001</v>
      </c>
      <c r="AD14" s="149"/>
      <c r="AE14" s="149"/>
    </row>
    <row r="15" spans="1:31" x14ac:dyDescent="0.25">
      <c r="A15" s="171" t="s">
        <v>47</v>
      </c>
      <c r="B15" s="164" t="s">
        <v>48</v>
      </c>
      <c r="C15" s="173">
        <v>324</v>
      </c>
      <c r="D15" s="173">
        <v>0</v>
      </c>
      <c r="E15" s="173">
        <v>0</v>
      </c>
      <c r="F15" s="173">
        <v>0</v>
      </c>
      <c r="G15" s="173">
        <v>9152.69</v>
      </c>
      <c r="H15" s="173">
        <v>0</v>
      </c>
      <c r="I15" s="173">
        <v>540</v>
      </c>
      <c r="J15" s="173"/>
      <c r="K15" s="173">
        <v>0</v>
      </c>
      <c r="L15" s="173">
        <v>0</v>
      </c>
      <c r="M15" s="173">
        <v>432</v>
      </c>
      <c r="N15" s="173">
        <v>0</v>
      </c>
      <c r="O15" s="173">
        <v>20352.650000000001</v>
      </c>
      <c r="P15" s="173"/>
      <c r="Q15" s="173">
        <v>0</v>
      </c>
      <c r="R15" s="173">
        <v>0</v>
      </c>
      <c r="S15" s="173">
        <v>1728</v>
      </c>
      <c r="T15" s="173">
        <v>11232</v>
      </c>
      <c r="U15" s="173">
        <v>6804</v>
      </c>
      <c r="V15" s="173">
        <v>0</v>
      </c>
      <c r="W15" s="173">
        <v>0</v>
      </c>
      <c r="X15" s="173">
        <v>0</v>
      </c>
      <c r="Y15" s="173"/>
      <c r="Z15" s="173">
        <v>0</v>
      </c>
      <c r="AA15" s="199">
        <v>0</v>
      </c>
      <c r="AB15" s="173">
        <f>SUM(C15:AA15)</f>
        <v>50565.340000000004</v>
      </c>
      <c r="AD15" s="149"/>
      <c r="AE15" s="149"/>
    </row>
    <row r="16" spans="1:31" x14ac:dyDescent="0.25">
      <c r="A16" s="171" t="s">
        <v>49</v>
      </c>
      <c r="B16" s="164" t="s">
        <v>50</v>
      </c>
      <c r="C16" s="173">
        <v>7200</v>
      </c>
      <c r="D16" s="173">
        <v>16530</v>
      </c>
      <c r="E16" s="173">
        <v>0</v>
      </c>
      <c r="F16" s="173">
        <v>19890</v>
      </c>
      <c r="G16" s="173">
        <v>6143.28</v>
      </c>
      <c r="H16" s="173">
        <v>10710</v>
      </c>
      <c r="I16" s="173">
        <v>9215.8799999999992</v>
      </c>
      <c r="J16" s="173">
        <v>4590</v>
      </c>
      <c r="K16" s="173">
        <v>41003.82</v>
      </c>
      <c r="L16" s="173">
        <v>4590</v>
      </c>
      <c r="M16" s="173">
        <v>26280</v>
      </c>
      <c r="N16" s="173">
        <v>1530</v>
      </c>
      <c r="O16" s="173">
        <v>34801.339999999997</v>
      </c>
      <c r="P16" s="173"/>
      <c r="Q16" s="173">
        <v>7650</v>
      </c>
      <c r="R16" s="173">
        <v>5000</v>
      </c>
      <c r="S16" s="173">
        <v>29934.86</v>
      </c>
      <c r="T16" s="173">
        <v>50490</v>
      </c>
      <c r="U16" s="173"/>
      <c r="V16" s="173">
        <v>22710.560000000001</v>
      </c>
      <c r="W16" s="173">
        <v>7650</v>
      </c>
      <c r="X16" s="173"/>
      <c r="Y16" s="173"/>
      <c r="Z16" s="173">
        <v>1535.98</v>
      </c>
      <c r="AA16" s="197">
        <v>0</v>
      </c>
      <c r="AB16" s="173">
        <f>SUM(SUM(C16:AA16))</f>
        <v>307455.71999999997</v>
      </c>
      <c r="AD16" s="149"/>
      <c r="AE16" s="149"/>
    </row>
    <row r="17" spans="1:31" x14ac:dyDescent="0.25">
      <c r="A17" s="171" t="s">
        <v>51</v>
      </c>
      <c r="B17" s="164" t="s">
        <v>52</v>
      </c>
      <c r="C17" s="173">
        <v>66003.63</v>
      </c>
      <c r="D17" s="173">
        <v>97743.85</v>
      </c>
      <c r="E17" s="173">
        <v>20400</v>
      </c>
      <c r="F17" s="173">
        <v>78942.5</v>
      </c>
      <c r="G17" s="173">
        <v>116072.26</v>
      </c>
      <c r="H17" s="173">
        <v>8164.48</v>
      </c>
      <c r="I17" s="173">
        <v>40714.74</v>
      </c>
      <c r="J17" s="173">
        <v>71211.83</v>
      </c>
      <c r="K17" s="173">
        <v>110742.82</v>
      </c>
      <c r="L17" s="173">
        <v>75106.81</v>
      </c>
      <c r="M17" s="173">
        <v>95206.68</v>
      </c>
      <c r="N17" s="173">
        <v>75105.919999999998</v>
      </c>
      <c r="O17" s="173">
        <v>91594.64</v>
      </c>
      <c r="P17" s="173">
        <v>26660</v>
      </c>
      <c r="Q17" s="173">
        <v>38750</v>
      </c>
      <c r="R17" s="173">
        <v>1317.91</v>
      </c>
      <c r="S17" s="173">
        <v>121958.93</v>
      </c>
      <c r="T17" s="173">
        <v>191943.78</v>
      </c>
      <c r="U17" s="173">
        <v>54210</v>
      </c>
      <c r="V17" s="173">
        <v>98800.04</v>
      </c>
      <c r="W17" s="173">
        <v>61230.63</v>
      </c>
      <c r="X17" s="173">
        <v>38284.79</v>
      </c>
      <c r="Y17" s="173">
        <v>14093.7</v>
      </c>
      <c r="Z17" s="173">
        <v>87115.06</v>
      </c>
      <c r="AA17" s="199">
        <v>29088.7</v>
      </c>
      <c r="AB17" s="173">
        <f>SUM(C17:AA17)</f>
        <v>1710463.7</v>
      </c>
      <c r="AD17" s="149"/>
      <c r="AE17" s="149"/>
    </row>
    <row r="18" spans="1:31" x14ac:dyDescent="0.25">
      <c r="A18" s="171" t="s">
        <v>53</v>
      </c>
      <c r="B18" s="164" t="s">
        <v>54</v>
      </c>
      <c r="C18" s="165">
        <v>17881.740000000002</v>
      </c>
      <c r="D18" s="165">
        <v>10730</v>
      </c>
      <c r="E18" s="165">
        <v>15107.4</v>
      </c>
      <c r="F18" s="165">
        <v>15840</v>
      </c>
      <c r="G18" s="165">
        <v>363017.46</v>
      </c>
      <c r="H18" s="165">
        <v>45971.6</v>
      </c>
      <c r="I18" s="165">
        <v>10485.459999999999</v>
      </c>
      <c r="J18" s="165">
        <v>7929.26</v>
      </c>
      <c r="K18" s="165">
        <v>114944.43</v>
      </c>
      <c r="L18" s="165">
        <v>31454</v>
      </c>
      <c r="M18" s="165">
        <v>30457.759999999998</v>
      </c>
      <c r="N18" s="165">
        <v>36945.589999999997</v>
      </c>
      <c r="O18" s="165">
        <v>214414.46</v>
      </c>
      <c r="P18" s="165">
        <v>650</v>
      </c>
      <c r="Q18" s="165">
        <v>6548</v>
      </c>
      <c r="R18" s="165">
        <v>0</v>
      </c>
      <c r="S18" s="165">
        <v>94590.24</v>
      </c>
      <c r="T18" s="165">
        <v>347344.63</v>
      </c>
      <c r="U18" s="165">
        <v>1000</v>
      </c>
      <c r="V18" s="165">
        <v>18450</v>
      </c>
      <c r="W18" s="165">
        <v>142202.01999999999</v>
      </c>
      <c r="X18" s="165">
        <v>19520.900000000001</v>
      </c>
      <c r="Y18" s="165">
        <v>16524.04</v>
      </c>
      <c r="Z18" s="165">
        <v>24943.15</v>
      </c>
      <c r="AA18" s="199">
        <v>4030</v>
      </c>
      <c r="AB18" s="165">
        <f>SUM(C18:AA18)</f>
        <v>1590982.14</v>
      </c>
      <c r="AD18" s="149"/>
      <c r="AE18" s="149"/>
    </row>
    <row r="19" spans="1:31" x14ac:dyDescent="0.25">
      <c r="A19" s="159">
        <v>413</v>
      </c>
      <c r="B19" s="160" t="s">
        <v>55</v>
      </c>
      <c r="C19" s="161">
        <f t="shared" ref="C19:E19" si="19">SUM(C20:C25)</f>
        <v>37795.97</v>
      </c>
      <c r="D19" s="161">
        <f t="shared" si="19"/>
        <v>404170.62999999995</v>
      </c>
      <c r="E19" s="161">
        <f t="shared" si="19"/>
        <v>24230.059999999998</v>
      </c>
      <c r="F19" s="161">
        <f t="shared" ref="F19:O19" si="20">SUM(F20:F25)</f>
        <v>301010.96000000002</v>
      </c>
      <c r="G19" s="161">
        <f t="shared" ref="G19" si="21">SUM(G20:G25)</f>
        <v>488381.85</v>
      </c>
      <c r="H19" s="161">
        <f t="shared" si="20"/>
        <v>221918.48</v>
      </c>
      <c r="I19" s="161">
        <f t="shared" ref="I19" si="22">SUM(I20:I25)</f>
        <v>135967.76</v>
      </c>
      <c r="J19" s="161">
        <f>SUM(J20:J25)</f>
        <v>41904.439999999995</v>
      </c>
      <c r="K19" s="161">
        <f t="shared" ref="K19:L19" si="23">SUM(K20:K25)</f>
        <v>331754.73</v>
      </c>
      <c r="L19" s="161">
        <f t="shared" si="23"/>
        <v>127060</v>
      </c>
      <c r="M19" s="161">
        <f t="shared" ref="M19" si="24">SUM(M20:M25)</f>
        <v>453367.14000000007</v>
      </c>
      <c r="N19" s="161">
        <f t="shared" ref="N19" si="25">SUM(N20:N25)</f>
        <v>106348.3</v>
      </c>
      <c r="O19" s="161">
        <f t="shared" si="20"/>
        <v>381096.78</v>
      </c>
      <c r="P19" s="161">
        <f t="shared" ref="P19" si="26">SUM(P20:P25)</f>
        <v>28118.85</v>
      </c>
      <c r="Q19" s="161">
        <f>SUM(Q20:Q25)</f>
        <v>70317.679999999993</v>
      </c>
      <c r="R19" s="161">
        <f t="shared" ref="R19" si="27">SUM(R20:R25)</f>
        <v>10124.120000000001</v>
      </c>
      <c r="S19" s="161">
        <f>SUM(S20:S25)</f>
        <v>433721.77999999997</v>
      </c>
      <c r="T19" s="161">
        <f t="shared" ref="T19:V19" si="28">SUM(T20:T25)</f>
        <v>1605378.19</v>
      </c>
      <c r="U19" s="161">
        <f t="shared" si="28"/>
        <v>142681.46</v>
      </c>
      <c r="V19" s="161">
        <f t="shared" si="28"/>
        <v>246877.31999999998</v>
      </c>
      <c r="W19" s="161">
        <f>SUM(W20:W25)</f>
        <v>348137.96</v>
      </c>
      <c r="X19" s="161">
        <f t="shared" ref="X19" si="29">SUM(X20:X25)</f>
        <v>75475.81</v>
      </c>
      <c r="Y19" s="161">
        <f>SUM(Y20:Y25)</f>
        <v>54920.55</v>
      </c>
      <c r="Z19" s="161">
        <v>212856.82</v>
      </c>
      <c r="AA19" s="200">
        <f>SUM(AA20:AA25)</f>
        <v>14886.03</v>
      </c>
      <c r="AB19" s="161">
        <f>SUM(AB20:AB25)</f>
        <v>6298503.6700000018</v>
      </c>
      <c r="AD19" s="149"/>
      <c r="AE19" s="149"/>
    </row>
    <row r="20" spans="1:31" x14ac:dyDescent="0.25">
      <c r="A20" s="171" t="s">
        <v>56</v>
      </c>
      <c r="B20" s="164" t="s">
        <v>57</v>
      </c>
      <c r="C20" s="173">
        <v>3929.34</v>
      </c>
      <c r="D20" s="173">
        <v>42243.040000000001</v>
      </c>
      <c r="E20" s="173">
        <v>2182.77</v>
      </c>
      <c r="F20" s="173">
        <v>10504.57</v>
      </c>
      <c r="G20" s="173">
        <v>158148.15</v>
      </c>
      <c r="H20" s="173">
        <v>17575.77</v>
      </c>
      <c r="I20" s="173">
        <v>14387.98</v>
      </c>
      <c r="J20" s="173">
        <v>2732.97</v>
      </c>
      <c r="K20" s="173">
        <v>35894.339999999997</v>
      </c>
      <c r="L20" s="173">
        <v>36584.300000000003</v>
      </c>
      <c r="M20" s="173">
        <v>45065.170000000006</v>
      </c>
      <c r="N20" s="173">
        <v>15620.13</v>
      </c>
      <c r="O20" s="173">
        <v>84865.99</v>
      </c>
      <c r="P20" s="173">
        <v>2586.3200000000002</v>
      </c>
      <c r="Q20" s="173">
        <v>5389.22</v>
      </c>
      <c r="R20" s="173">
        <v>1422.9</v>
      </c>
      <c r="S20" s="173">
        <v>29138.25</v>
      </c>
      <c r="T20" s="173">
        <v>195344.21</v>
      </c>
      <c r="U20" s="173">
        <v>19795.61</v>
      </c>
      <c r="V20" s="173">
        <v>30666.86</v>
      </c>
      <c r="W20" s="173">
        <v>19318.03</v>
      </c>
      <c r="X20" s="173">
        <v>11804.68</v>
      </c>
      <c r="Y20" s="173">
        <v>5053.16</v>
      </c>
      <c r="Z20" s="173">
        <v>12687.67</v>
      </c>
      <c r="AA20" s="199">
        <v>5374.64</v>
      </c>
      <c r="AB20" s="173">
        <f>SUM(SUM(C20:AA20))</f>
        <v>808316.07000000007</v>
      </c>
      <c r="AD20" s="149"/>
      <c r="AE20" s="149"/>
    </row>
    <row r="21" spans="1:31" x14ac:dyDescent="0.25">
      <c r="A21" s="171" t="s">
        <v>58</v>
      </c>
      <c r="B21" s="164" t="s">
        <v>59</v>
      </c>
      <c r="C21" s="173"/>
      <c r="D21" s="173">
        <v>0</v>
      </c>
      <c r="E21" s="173">
        <v>0</v>
      </c>
      <c r="F21" s="173"/>
      <c r="G21" s="173"/>
      <c r="H21" s="173"/>
      <c r="I21" s="173"/>
      <c r="J21" s="173"/>
      <c r="K21" s="173">
        <v>0</v>
      </c>
      <c r="L21" s="173">
        <v>0</v>
      </c>
      <c r="M21" s="173"/>
      <c r="N21" s="173">
        <v>0</v>
      </c>
      <c r="O21" s="173"/>
      <c r="P21" s="173"/>
      <c r="Q21" s="173"/>
      <c r="R21" s="173">
        <v>0</v>
      </c>
      <c r="S21" s="173">
        <v>0</v>
      </c>
      <c r="T21" s="173">
        <v>12048.74</v>
      </c>
      <c r="U21" s="173"/>
      <c r="V21" s="173">
        <v>0</v>
      </c>
      <c r="W21" s="173"/>
      <c r="X21" s="173"/>
      <c r="Y21" s="173"/>
      <c r="Z21" s="173">
        <v>0</v>
      </c>
      <c r="AA21" s="201">
        <v>0</v>
      </c>
      <c r="AB21" s="173">
        <f>SUM(C21:AA21)</f>
        <v>12048.74</v>
      </c>
      <c r="AD21" s="149"/>
      <c r="AE21" s="149"/>
    </row>
    <row r="22" spans="1:31" x14ac:dyDescent="0.25">
      <c r="A22" s="171" t="s">
        <v>60</v>
      </c>
      <c r="B22" s="164" t="s">
        <v>61</v>
      </c>
      <c r="C22" s="165">
        <v>1531.85</v>
      </c>
      <c r="D22" s="165">
        <v>5302.56</v>
      </c>
      <c r="E22" s="165">
        <v>4996.3100000000004</v>
      </c>
      <c r="F22" s="165">
        <v>16681.900000000001</v>
      </c>
      <c r="G22" s="165">
        <v>4916.1000000000004</v>
      </c>
      <c r="H22" s="165">
        <v>10606.52</v>
      </c>
      <c r="I22" s="165">
        <v>6529.77</v>
      </c>
      <c r="J22" s="165">
        <v>3400.58</v>
      </c>
      <c r="K22" s="165">
        <v>33089.29</v>
      </c>
      <c r="L22" s="165">
        <v>2199</v>
      </c>
      <c r="M22" s="165">
        <v>51305.75</v>
      </c>
      <c r="N22" s="165">
        <v>4933.6000000000004</v>
      </c>
      <c r="O22" s="165">
        <v>21455.86</v>
      </c>
      <c r="P22" s="165">
        <f>1693.47+1300</f>
        <v>2993.4700000000003</v>
      </c>
      <c r="Q22" s="165">
        <v>4605.79</v>
      </c>
      <c r="R22" s="165">
        <v>137.91</v>
      </c>
      <c r="S22" s="165">
        <v>10046.16</v>
      </c>
      <c r="T22" s="165">
        <v>223931.78</v>
      </c>
      <c r="U22" s="165">
        <v>975</v>
      </c>
      <c r="V22" s="165">
        <v>5803.03</v>
      </c>
      <c r="W22" s="165">
        <v>20245.36</v>
      </c>
      <c r="X22" s="165">
        <v>4955.76</v>
      </c>
      <c r="Y22" s="165">
        <v>1233.01</v>
      </c>
      <c r="Z22" s="165">
        <v>1937.18</v>
      </c>
      <c r="AA22" s="201">
        <v>271</v>
      </c>
      <c r="AB22" s="165">
        <f>SUM(C22:AA22)</f>
        <v>444084.5400000001</v>
      </c>
      <c r="AD22" s="149"/>
      <c r="AE22" s="149"/>
    </row>
    <row r="23" spans="1:31" x14ac:dyDescent="0.25">
      <c r="A23" s="171" t="s">
        <v>62</v>
      </c>
      <c r="B23" s="164" t="s">
        <v>63</v>
      </c>
      <c r="C23" s="165">
        <v>13784.78</v>
      </c>
      <c r="D23" s="165">
        <v>323118.14</v>
      </c>
      <c r="E23" s="165">
        <v>2997.39</v>
      </c>
      <c r="F23" s="165">
        <v>224941.61000000002</v>
      </c>
      <c r="G23" s="165">
        <f>41560.18+184594.73+44649.03</f>
        <v>270803.94</v>
      </c>
      <c r="H23" s="165">
        <v>174380.45</v>
      </c>
      <c r="I23" s="165">
        <v>90174.07</v>
      </c>
      <c r="J23" s="165">
        <v>29490.87</v>
      </c>
      <c r="K23" s="165">
        <v>227203.49</v>
      </c>
      <c r="L23" s="165">
        <v>70739.199999999997</v>
      </c>
      <c r="M23" s="165">
        <v>251237.01</v>
      </c>
      <c r="N23" s="165">
        <v>67030.75</v>
      </c>
      <c r="O23" s="165">
        <v>138118.94</v>
      </c>
      <c r="P23" s="165">
        <v>7993.44</v>
      </c>
      <c r="Q23" s="165">
        <v>38378.53</v>
      </c>
      <c r="R23" s="165">
        <v>1014.99</v>
      </c>
      <c r="S23" s="165">
        <v>351541.54</v>
      </c>
      <c r="T23" s="165">
        <v>1032114.74</v>
      </c>
      <c r="U23" s="165">
        <v>99380.14</v>
      </c>
      <c r="V23" s="165">
        <v>188034.91</v>
      </c>
      <c r="W23" s="165">
        <v>289204.2</v>
      </c>
      <c r="X23" s="165">
        <v>44486.18</v>
      </c>
      <c r="Y23" s="165">
        <v>24057.97</v>
      </c>
      <c r="Z23" s="165">
        <v>176457.45</v>
      </c>
      <c r="AA23" s="201">
        <v>1788.95</v>
      </c>
      <c r="AB23" s="165">
        <f>SUM(C23:AA23)</f>
        <v>4138473.6800000011</v>
      </c>
      <c r="AD23" s="149"/>
      <c r="AE23" s="149"/>
    </row>
    <row r="24" spans="1:31" x14ac:dyDescent="0.25">
      <c r="A24" s="171" t="s">
        <v>64</v>
      </c>
      <c r="B24" s="164" t="s">
        <v>65</v>
      </c>
      <c r="C24" s="165">
        <v>18550</v>
      </c>
      <c r="D24" s="165">
        <v>27079.66</v>
      </c>
      <c r="E24" s="165">
        <v>14053.59</v>
      </c>
      <c r="F24" s="165">
        <v>48882.879999999997</v>
      </c>
      <c r="G24" s="165">
        <v>54513.66</v>
      </c>
      <c r="H24" s="165">
        <v>19355.740000000002</v>
      </c>
      <c r="I24" s="165">
        <v>17674.48</v>
      </c>
      <c r="J24" s="165">
        <v>5630</v>
      </c>
      <c r="K24" s="165">
        <v>35567.61</v>
      </c>
      <c r="L24" s="165">
        <v>17537.5</v>
      </c>
      <c r="M24" s="165">
        <v>96977.39</v>
      </c>
      <c r="N24" s="165">
        <v>17614.330000000002</v>
      </c>
      <c r="O24" s="165">
        <v>131216.26</v>
      </c>
      <c r="P24" s="165">
        <v>12567.25</v>
      </c>
      <c r="Q24" s="165">
        <v>21360.6</v>
      </c>
      <c r="R24" s="165">
        <v>7282.45</v>
      </c>
      <c r="S24" s="165">
        <v>36453.31</v>
      </c>
      <c r="T24" s="165">
        <v>141743.20000000001</v>
      </c>
      <c r="U24" s="165">
        <v>22530.71</v>
      </c>
      <c r="V24" s="165">
        <v>22372.52</v>
      </c>
      <c r="W24" s="165">
        <v>18101.57</v>
      </c>
      <c r="X24" s="165">
        <v>14229.19</v>
      </c>
      <c r="Y24" s="165">
        <v>17366.93</v>
      </c>
      <c r="Z24" s="165">
        <v>21774.52</v>
      </c>
      <c r="AA24" s="201">
        <v>7209.81</v>
      </c>
      <c r="AB24" s="165">
        <f>SUM(C24:AA24)</f>
        <v>847645.15999999992</v>
      </c>
      <c r="AD24" s="149"/>
      <c r="AE24" s="149"/>
    </row>
    <row r="25" spans="1:31" x14ac:dyDescent="0.25">
      <c r="A25" s="171" t="s">
        <v>66</v>
      </c>
      <c r="B25" s="164" t="s">
        <v>67</v>
      </c>
      <c r="C25" s="173"/>
      <c r="D25" s="173">
        <v>6427.23</v>
      </c>
      <c r="E25" s="173">
        <v>0</v>
      </c>
      <c r="F25" s="173">
        <v>0</v>
      </c>
      <c r="G25" s="173"/>
      <c r="H25" s="173">
        <v>0</v>
      </c>
      <c r="I25" s="173">
        <v>7201.46</v>
      </c>
      <c r="J25" s="173">
        <v>650.02</v>
      </c>
      <c r="K25" s="173">
        <v>0</v>
      </c>
      <c r="L25" s="173">
        <v>0</v>
      </c>
      <c r="M25" s="173">
        <v>8781.82</v>
      </c>
      <c r="N25" s="173">
        <v>1149.49</v>
      </c>
      <c r="O25" s="173">
        <v>5439.73</v>
      </c>
      <c r="P25" s="173">
        <v>1978.37</v>
      </c>
      <c r="Q25" s="173">
        <v>583.54</v>
      </c>
      <c r="R25" s="173">
        <v>265.87</v>
      </c>
      <c r="S25" s="173">
        <v>6542.52</v>
      </c>
      <c r="T25" s="173">
        <v>195.52</v>
      </c>
      <c r="U25" s="173"/>
      <c r="V25" s="173">
        <v>0</v>
      </c>
      <c r="W25" s="173">
        <v>1268.8</v>
      </c>
      <c r="X25" s="173"/>
      <c r="Y25" s="173">
        <v>7209.48</v>
      </c>
      <c r="Z25" s="173">
        <v>0</v>
      </c>
      <c r="AA25" s="201">
        <v>241.63</v>
      </c>
      <c r="AB25" s="173">
        <f>SUM(C25:AA25)</f>
        <v>47935.48</v>
      </c>
      <c r="AD25" s="149"/>
      <c r="AE25" s="149"/>
    </row>
    <row r="26" spans="1:31" x14ac:dyDescent="0.25">
      <c r="A26" s="159">
        <v>414</v>
      </c>
      <c r="B26" s="160" t="s">
        <v>68</v>
      </c>
      <c r="C26" s="161">
        <f t="shared" ref="C26:E26" si="30">SUM(C27:C35)</f>
        <v>41671.18</v>
      </c>
      <c r="D26" s="161">
        <f t="shared" si="30"/>
        <v>471713.17</v>
      </c>
      <c r="E26" s="161">
        <f t="shared" si="30"/>
        <v>123129.12000000001</v>
      </c>
      <c r="F26" s="161">
        <f t="shared" ref="F26:W26" si="31">SUM(F27:F35)</f>
        <v>272995.36</v>
      </c>
      <c r="G26" s="161">
        <f t="shared" ref="G26" si="32">SUM(G27:G35)</f>
        <v>495693.69999999995</v>
      </c>
      <c r="H26" s="161">
        <f t="shared" si="31"/>
        <v>189823.08000000002</v>
      </c>
      <c r="I26" s="161">
        <f t="shared" ref="I26" si="33">SUM(I27:I35)</f>
        <v>227959.66999999998</v>
      </c>
      <c r="J26" s="161">
        <f t="shared" si="31"/>
        <v>38553.25</v>
      </c>
      <c r="K26" s="161">
        <f t="shared" ref="K26:L26" si="34">SUM(K27:K35)</f>
        <v>1284899.48</v>
      </c>
      <c r="L26" s="161">
        <f t="shared" si="34"/>
        <v>284992.87</v>
      </c>
      <c r="M26" s="161">
        <f t="shared" ref="M26" si="35">SUM(M27:M35)</f>
        <v>381875.14</v>
      </c>
      <c r="N26" s="161">
        <f t="shared" ref="N26" si="36">SUM(N27:N35)</f>
        <v>88232.03</v>
      </c>
      <c r="O26" s="161">
        <f t="shared" si="31"/>
        <v>615771</v>
      </c>
      <c r="P26" s="161">
        <f t="shared" ref="P26" si="37">SUM(P27:P35)</f>
        <v>48744.959999999999</v>
      </c>
      <c r="Q26" s="161">
        <f t="shared" si="31"/>
        <v>48449.5</v>
      </c>
      <c r="R26" s="161">
        <f t="shared" ref="R26" si="38">SUM(R27:R35)</f>
        <v>6826.19</v>
      </c>
      <c r="S26" s="161">
        <f>SUM(S27:S35)</f>
        <v>287275.05000000005</v>
      </c>
      <c r="T26" s="161">
        <f t="shared" ref="T26:V26" si="39">SUM(T27:T35)</f>
        <v>1408943.8399999999</v>
      </c>
      <c r="U26" s="161">
        <f t="shared" si="39"/>
        <v>105959.20999999999</v>
      </c>
      <c r="V26" s="161">
        <f t="shared" si="39"/>
        <v>985370.01</v>
      </c>
      <c r="W26" s="161">
        <f t="shared" si="31"/>
        <v>439794.58999999997</v>
      </c>
      <c r="X26" s="161">
        <f t="shared" ref="X26" si="40">SUM(X27:X35)</f>
        <v>44281.340000000004</v>
      </c>
      <c r="Y26" s="161">
        <f>SUM(Y27:Y35)</f>
        <v>69329.399999999994</v>
      </c>
      <c r="Z26" s="161">
        <v>468932.96</v>
      </c>
      <c r="AA26" s="202">
        <f>SUM(AA27:AA35)</f>
        <v>51264.44</v>
      </c>
      <c r="AB26" s="161">
        <f>SUM(AB27:AB35)</f>
        <v>8482480.540000001</v>
      </c>
      <c r="AD26" s="149"/>
      <c r="AE26" s="149"/>
    </row>
    <row r="27" spans="1:31" x14ac:dyDescent="0.25">
      <c r="A27" s="171" t="s">
        <v>69</v>
      </c>
      <c r="B27" s="164" t="s">
        <v>70</v>
      </c>
      <c r="C27" s="165">
        <v>4370.68</v>
      </c>
      <c r="D27" s="165">
        <v>27044.84</v>
      </c>
      <c r="E27" s="165">
        <v>11138.4</v>
      </c>
      <c r="F27" s="165">
        <v>13886.18</v>
      </c>
      <c r="G27" s="165">
        <v>10661.5</v>
      </c>
      <c r="H27" s="165">
        <v>27928.22</v>
      </c>
      <c r="I27" s="165">
        <v>4951.12</v>
      </c>
      <c r="J27" s="165">
        <v>7116.17</v>
      </c>
      <c r="K27" s="165">
        <v>24147.66</v>
      </c>
      <c r="L27" s="165">
        <v>9440.85</v>
      </c>
      <c r="M27" s="165">
        <v>14879.480000000001</v>
      </c>
      <c r="N27" s="165">
        <v>10162.879999999999</v>
      </c>
      <c r="O27" s="165">
        <v>17908.86</v>
      </c>
      <c r="P27" s="165">
        <v>7001.85</v>
      </c>
      <c r="Q27" s="165">
        <v>4532.3</v>
      </c>
      <c r="R27" s="165">
        <v>1131.1199999999999</v>
      </c>
      <c r="S27" s="165">
        <v>30162.76</v>
      </c>
      <c r="T27" s="165">
        <v>72481.91</v>
      </c>
      <c r="U27" s="165">
        <v>11814.77</v>
      </c>
      <c r="V27" s="165">
        <v>14376.51</v>
      </c>
      <c r="W27" s="165">
        <v>7308.21</v>
      </c>
      <c r="X27" s="165">
        <v>5228.03</v>
      </c>
      <c r="Y27" s="165">
        <v>3007.82</v>
      </c>
      <c r="Z27" s="165">
        <v>3924.11</v>
      </c>
      <c r="AA27" s="201">
        <v>734.64</v>
      </c>
      <c r="AB27" s="165">
        <f t="shared" ref="AB27:AB35" si="41">SUM(C27:AA27)</f>
        <v>345340.87000000011</v>
      </c>
      <c r="AD27" s="149"/>
      <c r="AE27" s="149"/>
    </row>
    <row r="28" spans="1:31" x14ac:dyDescent="0.25">
      <c r="A28" s="171" t="s">
        <v>71</v>
      </c>
      <c r="B28" s="164" t="s">
        <v>72</v>
      </c>
      <c r="C28" s="165">
        <v>9853.99</v>
      </c>
      <c r="D28" s="165">
        <v>18069.79</v>
      </c>
      <c r="E28" s="165">
        <v>8047.19</v>
      </c>
      <c r="F28" s="165">
        <v>30448.37</v>
      </c>
      <c r="G28" s="165">
        <v>34532.69</v>
      </c>
      <c r="H28" s="165">
        <v>13579.81</v>
      </c>
      <c r="I28" s="165">
        <v>1698.5</v>
      </c>
      <c r="J28" s="165">
        <v>10453.4</v>
      </c>
      <c r="K28" s="165">
        <v>30964.5</v>
      </c>
      <c r="L28" s="165">
        <v>5663.88</v>
      </c>
      <c r="M28" s="165">
        <v>19831.11</v>
      </c>
      <c r="N28" s="165">
        <v>6883.12</v>
      </c>
      <c r="O28" s="165">
        <v>49803.87</v>
      </c>
      <c r="P28" s="165">
        <v>4006.66</v>
      </c>
      <c r="Q28" s="165">
        <v>12468.54</v>
      </c>
      <c r="R28" s="165">
        <v>620.04999999999995</v>
      </c>
      <c r="S28" s="165">
        <v>11676.67</v>
      </c>
      <c r="T28" s="165">
        <v>5669.84</v>
      </c>
      <c r="U28" s="165">
        <v>13916.98</v>
      </c>
      <c r="V28" s="165">
        <v>24441.65</v>
      </c>
      <c r="W28" s="165">
        <v>16664.34</v>
      </c>
      <c r="X28" s="165">
        <v>10913.33</v>
      </c>
      <c r="Y28" s="165">
        <v>1773.9</v>
      </c>
      <c r="Z28" s="165">
        <v>16181.6</v>
      </c>
      <c r="AA28" s="201">
        <v>1809.75</v>
      </c>
      <c r="AB28" s="165">
        <f t="shared" si="41"/>
        <v>359973.53</v>
      </c>
      <c r="AD28" s="149"/>
      <c r="AE28" s="149"/>
    </row>
    <row r="29" spans="1:31" x14ac:dyDescent="0.25">
      <c r="A29" s="171" t="s">
        <v>73</v>
      </c>
      <c r="B29" s="164" t="s">
        <v>74</v>
      </c>
      <c r="C29" s="165">
        <v>6888.7</v>
      </c>
      <c r="D29" s="165">
        <v>74914.47</v>
      </c>
      <c r="E29" s="165">
        <v>3713.22</v>
      </c>
      <c r="F29" s="165">
        <v>31352.979999999996</v>
      </c>
      <c r="G29" s="165">
        <v>49082.42</v>
      </c>
      <c r="H29" s="165">
        <v>6303.81</v>
      </c>
      <c r="I29" s="165">
        <v>19023.27</v>
      </c>
      <c r="J29" s="165">
        <v>4462.1000000000004</v>
      </c>
      <c r="K29" s="165">
        <v>17376.240000000002</v>
      </c>
      <c r="L29" s="165">
        <v>18189.689999999999</v>
      </c>
      <c r="M29" s="165">
        <v>86732.010000000009</v>
      </c>
      <c r="N29" s="165">
        <v>15040.99</v>
      </c>
      <c r="O29" s="165">
        <v>42879.37</v>
      </c>
      <c r="P29" s="165">
        <v>5033.79</v>
      </c>
      <c r="Q29" s="165">
        <v>6609.51</v>
      </c>
      <c r="R29" s="165">
        <v>806.41</v>
      </c>
      <c r="S29" s="165">
        <v>22673.88</v>
      </c>
      <c r="T29" s="165">
        <v>96712.12</v>
      </c>
      <c r="U29" s="165">
        <v>25004.11</v>
      </c>
      <c r="V29" s="165">
        <v>33284.800000000003</v>
      </c>
      <c r="W29" s="165">
        <v>6733.11</v>
      </c>
      <c r="X29" s="165">
        <v>17274.400000000001</v>
      </c>
      <c r="Y29" s="165">
        <v>8281.8799999999992</v>
      </c>
      <c r="Z29" s="165">
        <v>16879.400000000001</v>
      </c>
      <c r="AA29" s="201">
        <v>2309.79</v>
      </c>
      <c r="AB29" s="165">
        <f t="shared" si="41"/>
        <v>617562.47000000009</v>
      </c>
      <c r="AD29" s="149"/>
      <c r="AE29" s="149"/>
    </row>
    <row r="30" spans="1:31" x14ac:dyDescent="0.25">
      <c r="A30" s="171" t="s">
        <v>75</v>
      </c>
      <c r="B30" s="164" t="s">
        <v>76</v>
      </c>
      <c r="C30" s="165">
        <v>3758.16</v>
      </c>
      <c r="D30" s="165">
        <v>19660.52</v>
      </c>
      <c r="E30" s="165">
        <v>2756.65</v>
      </c>
      <c r="F30" s="165">
        <v>12244.169999999998</v>
      </c>
      <c r="G30" s="165">
        <v>22364.85</v>
      </c>
      <c r="H30" s="165">
        <v>12383.57</v>
      </c>
      <c r="I30" s="165">
        <v>12872.92</v>
      </c>
      <c r="J30" s="165">
        <v>2962.2</v>
      </c>
      <c r="K30" s="165">
        <v>24484.57</v>
      </c>
      <c r="L30" s="165">
        <v>3100.82</v>
      </c>
      <c r="M30" s="165">
        <v>16767.79</v>
      </c>
      <c r="N30" s="165">
        <v>5299.59</v>
      </c>
      <c r="O30" s="165">
        <v>12080.18</v>
      </c>
      <c r="P30" s="165">
        <v>2579.71</v>
      </c>
      <c r="Q30" s="165">
        <v>7077.37</v>
      </c>
      <c r="R30" s="165">
        <v>515.95000000000005</v>
      </c>
      <c r="S30" s="165">
        <v>22821</v>
      </c>
      <c r="T30" s="165">
        <v>26614.5</v>
      </c>
      <c r="U30" s="165">
        <v>9247.8799999999992</v>
      </c>
      <c r="V30" s="165">
        <v>21256.29</v>
      </c>
      <c r="W30" s="165">
        <v>13238.67</v>
      </c>
      <c r="X30" s="165">
        <v>3014.39</v>
      </c>
      <c r="Y30" s="165">
        <v>2331.7800000000002</v>
      </c>
      <c r="Z30" s="165">
        <v>5362.94</v>
      </c>
      <c r="AA30" s="201">
        <v>3014.41</v>
      </c>
      <c r="AB30" s="165">
        <f t="shared" si="41"/>
        <v>267810.88</v>
      </c>
      <c r="AD30" s="149"/>
      <c r="AE30" s="149"/>
    </row>
    <row r="31" spans="1:31" x14ac:dyDescent="0.25">
      <c r="A31" s="171" t="s">
        <v>77</v>
      </c>
      <c r="B31" s="164" t="s">
        <v>78</v>
      </c>
      <c r="C31" s="165"/>
      <c r="D31" s="165">
        <v>0</v>
      </c>
      <c r="E31" s="165">
        <v>0</v>
      </c>
      <c r="F31" s="165">
        <v>0</v>
      </c>
      <c r="G31" s="165"/>
      <c r="H31" s="165">
        <v>0</v>
      </c>
      <c r="I31" s="165"/>
      <c r="J31" s="165">
        <v>0</v>
      </c>
      <c r="K31" s="165">
        <v>0</v>
      </c>
      <c r="L31" s="165">
        <v>0</v>
      </c>
      <c r="M31" s="165">
        <v>0</v>
      </c>
      <c r="N31" s="165">
        <v>0</v>
      </c>
      <c r="O31" s="165">
        <v>0</v>
      </c>
      <c r="P31" s="165">
        <v>2077.29</v>
      </c>
      <c r="Q31" s="165">
        <v>0</v>
      </c>
      <c r="R31" s="165">
        <v>0</v>
      </c>
      <c r="S31" s="165">
        <v>826.78</v>
      </c>
      <c r="T31" s="165">
        <v>31297.09</v>
      </c>
      <c r="U31" s="165"/>
      <c r="V31" s="165">
        <v>170147.24</v>
      </c>
      <c r="W31" s="165">
        <v>0</v>
      </c>
      <c r="X31" s="165"/>
      <c r="Y31" s="165"/>
      <c r="Z31" s="165">
        <v>0</v>
      </c>
      <c r="AA31" s="201">
        <v>0</v>
      </c>
      <c r="AB31" s="165">
        <f t="shared" si="41"/>
        <v>204348.4</v>
      </c>
      <c r="AD31" s="149"/>
      <c r="AE31" s="149"/>
    </row>
    <row r="32" spans="1:31" x14ac:dyDescent="0.25">
      <c r="A32" s="171" t="s">
        <v>79</v>
      </c>
      <c r="B32" s="164" t="s">
        <v>80</v>
      </c>
      <c r="C32" s="165">
        <v>1100</v>
      </c>
      <c r="D32" s="165">
        <v>14296.8</v>
      </c>
      <c r="E32" s="165">
        <v>0</v>
      </c>
      <c r="F32" s="165">
        <v>5669.3399999999992</v>
      </c>
      <c r="G32" s="165">
        <v>122834.53</v>
      </c>
      <c r="H32" s="165">
        <v>9768.7800000000007</v>
      </c>
      <c r="I32" s="165">
        <v>0</v>
      </c>
      <c r="J32" s="165">
        <v>3687.93</v>
      </c>
      <c r="K32" s="165">
        <v>37770.92</v>
      </c>
      <c r="L32" s="165">
        <v>914.17</v>
      </c>
      <c r="M32" s="165">
        <v>8645.16</v>
      </c>
      <c r="N32" s="165">
        <v>0</v>
      </c>
      <c r="O32" s="165">
        <v>715</v>
      </c>
      <c r="P32" s="165">
        <v>0</v>
      </c>
      <c r="Q32" s="165">
        <v>1411.11</v>
      </c>
      <c r="R32" s="165">
        <v>0</v>
      </c>
      <c r="S32" s="165">
        <v>28170.47</v>
      </c>
      <c r="T32" s="165">
        <v>50109.97</v>
      </c>
      <c r="U32" s="165">
        <v>1000</v>
      </c>
      <c r="V32" s="165">
        <v>155.80000000000001</v>
      </c>
      <c r="W32" s="165">
        <v>2225</v>
      </c>
      <c r="X32" s="165">
        <v>1110.6600000000001</v>
      </c>
      <c r="Y32" s="165">
        <v>7269.44</v>
      </c>
      <c r="Z32" s="165">
        <v>18767.990000000002</v>
      </c>
      <c r="AA32" s="201">
        <v>25.41</v>
      </c>
      <c r="AB32" s="165">
        <f t="shared" si="41"/>
        <v>315648.47999999992</v>
      </c>
      <c r="AD32" s="149"/>
      <c r="AE32" s="149"/>
    </row>
    <row r="33" spans="1:31" x14ac:dyDescent="0.25">
      <c r="A33" s="171" t="s">
        <v>81</v>
      </c>
      <c r="B33" s="164" t="s">
        <v>82</v>
      </c>
      <c r="C33" s="165">
        <v>3359.3</v>
      </c>
      <c r="D33" s="165">
        <v>89551.22</v>
      </c>
      <c r="E33" s="165">
        <v>80449.39</v>
      </c>
      <c r="F33" s="165">
        <v>0</v>
      </c>
      <c r="G33" s="165"/>
      <c r="H33" s="165">
        <v>22115</v>
      </c>
      <c r="I33" s="165">
        <v>69950.39</v>
      </c>
      <c r="J33" s="165">
        <v>9626</v>
      </c>
      <c r="K33" s="165">
        <v>49571.18</v>
      </c>
      <c r="L33" s="165">
        <v>216513.99</v>
      </c>
      <c r="M33" s="165">
        <v>26237.45</v>
      </c>
      <c r="N33" s="165">
        <v>20375.75</v>
      </c>
      <c r="O33" s="165">
        <v>19904.259999999998</v>
      </c>
      <c r="P33" s="165">
        <v>11651.5</v>
      </c>
      <c r="Q33" s="165">
        <v>177.1</v>
      </c>
      <c r="R33" s="165">
        <v>580</v>
      </c>
      <c r="S33" s="165">
        <v>15022.64</v>
      </c>
      <c r="T33" s="165">
        <v>19552.560000000001</v>
      </c>
      <c r="U33" s="165">
        <v>28000</v>
      </c>
      <c r="V33" s="165">
        <v>7072.45</v>
      </c>
      <c r="W33" s="165">
        <v>247058.35</v>
      </c>
      <c r="X33" s="165">
        <v>6740.53</v>
      </c>
      <c r="Y33" s="165">
        <v>20150.009999999998</v>
      </c>
      <c r="Z33" s="165">
        <v>0</v>
      </c>
      <c r="AA33" s="201">
        <v>20214.810000000001</v>
      </c>
      <c r="AB33" s="165">
        <f t="shared" si="41"/>
        <v>983873.88</v>
      </c>
      <c r="AD33" s="149"/>
      <c r="AE33" s="149"/>
    </row>
    <row r="34" spans="1:31" x14ac:dyDescent="0.25">
      <c r="A34" s="171" t="s">
        <v>83</v>
      </c>
      <c r="B34" s="164" t="s">
        <v>84</v>
      </c>
      <c r="C34" s="165"/>
      <c r="D34" s="165">
        <v>0</v>
      </c>
      <c r="E34" s="165">
        <v>0</v>
      </c>
      <c r="F34" s="165">
        <v>4311</v>
      </c>
      <c r="G34" s="165">
        <v>7200.91</v>
      </c>
      <c r="H34" s="165">
        <v>440</v>
      </c>
      <c r="I34" s="165">
        <v>0</v>
      </c>
      <c r="J34" s="165">
        <v>0</v>
      </c>
      <c r="K34" s="165">
        <v>2674.65</v>
      </c>
      <c r="L34" s="165">
        <v>269.36</v>
      </c>
      <c r="M34" s="165">
        <v>2074.7199999999998</v>
      </c>
      <c r="N34" s="165">
        <v>545.79999999999995</v>
      </c>
      <c r="O34" s="165">
        <v>15329.55</v>
      </c>
      <c r="P34" s="165">
        <v>0</v>
      </c>
      <c r="Q34" s="165">
        <v>98.7</v>
      </c>
      <c r="R34" s="165">
        <v>0</v>
      </c>
      <c r="S34" s="165">
        <v>5153.7</v>
      </c>
      <c r="T34" s="165">
        <v>6712.9</v>
      </c>
      <c r="U34" s="165">
        <v>75.400000000000006</v>
      </c>
      <c r="V34" s="165">
        <v>931.9</v>
      </c>
      <c r="W34" s="165">
        <v>647.5</v>
      </c>
      <c r="X34" s="165"/>
      <c r="Y34" s="165"/>
      <c r="Z34" s="165">
        <v>193.6</v>
      </c>
      <c r="AA34" s="201">
        <v>0</v>
      </c>
      <c r="AB34" s="165">
        <f t="shared" si="41"/>
        <v>46659.689999999995</v>
      </c>
      <c r="AD34" s="149"/>
      <c r="AE34" s="149"/>
    </row>
    <row r="35" spans="1:31" x14ac:dyDescent="0.25">
      <c r="A35" s="171" t="s">
        <v>85</v>
      </c>
      <c r="B35" s="164" t="s">
        <v>86</v>
      </c>
      <c r="C35" s="165">
        <v>12340.35</v>
      </c>
      <c r="D35" s="165">
        <v>228175.53</v>
      </c>
      <c r="E35" s="165">
        <v>17024.27</v>
      </c>
      <c r="F35" s="165">
        <v>175083.32</v>
      </c>
      <c r="G35" s="165">
        <v>249016.8</v>
      </c>
      <c r="H35" s="165">
        <v>97303.89</v>
      </c>
      <c r="I35" s="165">
        <v>119463.47</v>
      </c>
      <c r="J35" s="165">
        <v>245.45</v>
      </c>
      <c r="K35" s="165">
        <v>1097909.76</v>
      </c>
      <c r="L35" s="165">
        <v>30900.11</v>
      </c>
      <c r="M35" s="165">
        <v>206707.42</v>
      </c>
      <c r="N35" s="165">
        <v>29923.9</v>
      </c>
      <c r="O35" s="165">
        <v>457149.91</v>
      </c>
      <c r="P35" s="165">
        <f>14905.86+1488.3</f>
        <v>16394.16</v>
      </c>
      <c r="Q35" s="165">
        <v>16074.87</v>
      </c>
      <c r="R35" s="165">
        <v>3172.66</v>
      </c>
      <c r="S35" s="165">
        <v>150767.15</v>
      </c>
      <c r="T35" s="165">
        <v>1099792.95</v>
      </c>
      <c r="U35" s="165">
        <v>16900.07</v>
      </c>
      <c r="V35" s="165">
        <v>713703.37</v>
      </c>
      <c r="W35" s="165">
        <v>145919.41</v>
      </c>
      <c r="X35" s="165"/>
      <c r="Y35" s="165">
        <v>26514.57</v>
      </c>
      <c r="Z35" s="165">
        <v>407623.32</v>
      </c>
      <c r="AA35" s="201">
        <v>23155.63</v>
      </c>
      <c r="AB35" s="165">
        <f t="shared" si="41"/>
        <v>5341262.3400000008</v>
      </c>
      <c r="AD35" s="149"/>
      <c r="AE35" s="149"/>
    </row>
    <row r="36" spans="1:31" x14ac:dyDescent="0.25">
      <c r="A36" s="159">
        <v>415</v>
      </c>
      <c r="B36" s="160" t="s">
        <v>87</v>
      </c>
      <c r="C36" s="161">
        <f t="shared" ref="C36:E36" si="42">SUM(C37:C40)</f>
        <v>165008.95000000001</v>
      </c>
      <c r="D36" s="161">
        <f t="shared" si="42"/>
        <v>201509.91999999998</v>
      </c>
      <c r="E36" s="161">
        <f t="shared" si="42"/>
        <v>6356.26</v>
      </c>
      <c r="F36" s="161">
        <f t="shared" ref="F36:W36" si="43">SUM(F37:F40)</f>
        <v>58936.020000000004</v>
      </c>
      <c r="G36" s="161">
        <f t="shared" ref="G36" si="44">SUM(G37:G40)</f>
        <v>1404742.3199999998</v>
      </c>
      <c r="H36" s="161">
        <f t="shared" si="43"/>
        <v>625015.74999999988</v>
      </c>
      <c r="I36" s="161">
        <f t="shared" ref="I36" si="45">SUM(I37:I40)</f>
        <v>530229.03</v>
      </c>
      <c r="J36" s="161">
        <f t="shared" si="43"/>
        <v>24239.759999999998</v>
      </c>
      <c r="K36" s="161">
        <f t="shared" ref="K36:L36" si="46">SUM(K37:K40)</f>
        <v>134526.29</v>
      </c>
      <c r="L36" s="161">
        <f t="shared" si="46"/>
        <v>175255.91</v>
      </c>
      <c r="M36" s="161">
        <f t="shared" ref="M36" si="47">SUM(M37:M40)</f>
        <v>189304.81</v>
      </c>
      <c r="N36" s="161">
        <f t="shared" ref="N36" si="48">SUM(N37:N40)</f>
        <v>12542.49</v>
      </c>
      <c r="O36" s="161">
        <f t="shared" si="43"/>
        <v>66176.489999999991</v>
      </c>
      <c r="P36" s="161">
        <f t="shared" ref="P36" si="49">SUM(P37:P40)</f>
        <v>25578.89</v>
      </c>
      <c r="Q36" s="161">
        <f t="shared" si="43"/>
        <v>9087.3100000000013</v>
      </c>
      <c r="R36" s="161">
        <f t="shared" ref="R36" si="50">SUM(R37:R40)</f>
        <v>24695.15</v>
      </c>
      <c r="S36" s="161">
        <f>SUM(S37:S40)</f>
        <v>1014671.88</v>
      </c>
      <c r="T36" s="161">
        <f t="shared" ref="T36:V36" si="51">SUM(T37:T40)</f>
        <v>379693.97000000003</v>
      </c>
      <c r="U36" s="161">
        <f t="shared" si="51"/>
        <v>25433.07</v>
      </c>
      <c r="V36" s="161">
        <f t="shared" si="51"/>
        <v>65022.28</v>
      </c>
      <c r="W36" s="161">
        <f t="shared" si="43"/>
        <v>417750.5</v>
      </c>
      <c r="X36" s="161">
        <f t="shared" ref="X36" si="52">SUM(X37:X40)</f>
        <v>27377.35</v>
      </c>
      <c r="Y36" s="161">
        <f>SUM(Y37:Y40)</f>
        <v>14615.55</v>
      </c>
      <c r="Z36" s="161">
        <v>26841.96</v>
      </c>
      <c r="AA36" s="202">
        <f>SUM(AA37:AA40)</f>
        <v>144055.47999999998</v>
      </c>
      <c r="AB36" s="161">
        <f>SUM(AB37:AB40)</f>
        <v>5768667.3900000006</v>
      </c>
      <c r="AD36" s="149"/>
      <c r="AE36" s="149"/>
    </row>
    <row r="37" spans="1:31" x14ac:dyDescent="0.25">
      <c r="A37" s="171" t="s">
        <v>88</v>
      </c>
      <c r="B37" s="164" t="s">
        <v>89</v>
      </c>
      <c r="C37" s="173">
        <v>156877.97</v>
      </c>
      <c r="D37" s="173">
        <v>49047.35</v>
      </c>
      <c r="E37" s="173">
        <v>0</v>
      </c>
      <c r="F37" s="173">
        <v>0</v>
      </c>
      <c r="G37" s="173">
        <v>1335468.95</v>
      </c>
      <c r="H37" s="173">
        <v>600655.94999999995</v>
      </c>
      <c r="I37" s="173">
        <v>510840.04</v>
      </c>
      <c r="J37" s="173">
        <v>23650.1</v>
      </c>
      <c r="K37" s="173">
        <v>22231.439999999999</v>
      </c>
      <c r="L37" s="173">
        <v>153322.95000000001</v>
      </c>
      <c r="M37" s="173">
        <v>45420.25</v>
      </c>
      <c r="N37" s="173">
        <v>0</v>
      </c>
      <c r="O37" s="173"/>
      <c r="P37" s="173">
        <v>17870.39</v>
      </c>
      <c r="Q37" s="173">
        <v>0</v>
      </c>
      <c r="R37" s="173">
        <v>13558.56</v>
      </c>
      <c r="S37" s="173">
        <v>980840.17</v>
      </c>
      <c r="T37" s="173">
        <v>179569.88</v>
      </c>
      <c r="U37" s="173">
        <v>10196.370000000001</v>
      </c>
      <c r="V37" s="173">
        <v>0</v>
      </c>
      <c r="W37" s="173">
        <v>365845.11</v>
      </c>
      <c r="X37" s="173">
        <v>4267.67</v>
      </c>
      <c r="Y37" s="173"/>
      <c r="Z37" s="173">
        <v>0</v>
      </c>
      <c r="AA37" s="201">
        <v>122797.53</v>
      </c>
      <c r="AB37" s="173">
        <f>SUM(C37:AA37)</f>
        <v>4592460.6800000006</v>
      </c>
      <c r="AD37" s="149"/>
      <c r="AE37" s="149"/>
    </row>
    <row r="38" spans="1:31" x14ac:dyDescent="0.25">
      <c r="A38" s="171" t="s">
        <v>90</v>
      </c>
      <c r="B38" s="164" t="s">
        <v>91</v>
      </c>
      <c r="C38" s="173">
        <v>250</v>
      </c>
      <c r="D38" s="173">
        <v>124330.46</v>
      </c>
      <c r="E38" s="173">
        <v>0</v>
      </c>
      <c r="F38" s="173">
        <v>11074.310000000001</v>
      </c>
      <c r="G38" s="173">
        <v>58187.199999999997</v>
      </c>
      <c r="H38" s="173">
        <v>17982.86</v>
      </c>
      <c r="I38" s="173">
        <v>8380.2800000000007</v>
      </c>
      <c r="J38" s="173"/>
      <c r="K38" s="173">
        <v>0</v>
      </c>
      <c r="L38" s="173">
        <v>16202.13</v>
      </c>
      <c r="M38" s="173">
        <v>82677.48</v>
      </c>
      <c r="N38" s="173">
        <v>0</v>
      </c>
      <c r="O38" s="173">
        <v>18334.89</v>
      </c>
      <c r="P38" s="173">
        <v>867.32</v>
      </c>
      <c r="Q38" s="173">
        <v>308.94</v>
      </c>
      <c r="R38" s="173">
        <v>0</v>
      </c>
      <c r="S38" s="173">
        <v>9590.49</v>
      </c>
      <c r="T38" s="173">
        <v>87595.86</v>
      </c>
      <c r="U38" s="173"/>
      <c r="V38" s="173">
        <v>28593.95</v>
      </c>
      <c r="W38" s="173">
        <v>37152.39</v>
      </c>
      <c r="X38" s="173">
        <v>11327.78</v>
      </c>
      <c r="Y38" s="173">
        <v>303.39999999999998</v>
      </c>
      <c r="Z38" s="173">
        <v>3730.1</v>
      </c>
      <c r="AA38" s="201">
        <v>17062.21</v>
      </c>
      <c r="AB38" s="173">
        <f>SUM(C38:AA38)</f>
        <v>533952.05000000005</v>
      </c>
      <c r="AD38" s="149"/>
      <c r="AE38" s="149"/>
    </row>
    <row r="39" spans="1:31" x14ac:dyDescent="0.25">
      <c r="A39" s="171" t="s">
        <v>92</v>
      </c>
      <c r="B39" s="164" t="s">
        <v>93</v>
      </c>
      <c r="C39" s="165">
        <v>2413.41</v>
      </c>
      <c r="D39" s="165">
        <v>28132.11</v>
      </c>
      <c r="E39" s="165">
        <v>6356.26</v>
      </c>
      <c r="F39" s="165">
        <v>47861.710000000006</v>
      </c>
      <c r="G39" s="165">
        <v>11086.17</v>
      </c>
      <c r="H39" s="165">
        <v>6376.94</v>
      </c>
      <c r="I39" s="165">
        <v>3114.2</v>
      </c>
      <c r="J39" s="165">
        <v>589.66</v>
      </c>
      <c r="K39" s="165">
        <v>112294.85</v>
      </c>
      <c r="L39" s="165">
        <v>5730.83</v>
      </c>
      <c r="M39" s="165">
        <v>61207.08</v>
      </c>
      <c r="N39" s="165">
        <v>12542.49</v>
      </c>
      <c r="O39" s="165">
        <v>47841.599999999999</v>
      </c>
      <c r="P39" s="165">
        <v>6841.18</v>
      </c>
      <c r="Q39" s="165">
        <v>8778.3700000000008</v>
      </c>
      <c r="R39" s="165">
        <v>11136.59</v>
      </c>
      <c r="S39" s="165">
        <v>22265.82</v>
      </c>
      <c r="T39" s="165">
        <v>78301.66</v>
      </c>
      <c r="U39" s="165">
        <v>15236.7</v>
      </c>
      <c r="V39" s="165">
        <v>36428.33</v>
      </c>
      <c r="W39" s="165">
        <v>14753</v>
      </c>
      <c r="X39" s="165">
        <v>11781.9</v>
      </c>
      <c r="Y39" s="165">
        <v>1114.82</v>
      </c>
      <c r="Z39" s="165">
        <v>23111.86</v>
      </c>
      <c r="AA39" s="201">
        <v>66.55</v>
      </c>
      <c r="AB39" s="165">
        <f>SUM(C39:AA39)</f>
        <v>575364.09</v>
      </c>
      <c r="AD39" s="149"/>
      <c r="AE39" s="149"/>
    </row>
    <row r="40" spans="1:31" x14ac:dyDescent="0.25">
      <c r="A40" s="171" t="s">
        <v>94</v>
      </c>
      <c r="B40" s="164" t="s">
        <v>95</v>
      </c>
      <c r="C40" s="173">
        <v>5467.57</v>
      </c>
      <c r="D40" s="173">
        <v>0</v>
      </c>
      <c r="E40" s="173">
        <v>0</v>
      </c>
      <c r="F40" s="173"/>
      <c r="G40" s="173"/>
      <c r="H40" s="173"/>
      <c r="I40" s="173">
        <v>7894.51</v>
      </c>
      <c r="J40" s="173"/>
      <c r="K40" s="173"/>
      <c r="L40" s="173">
        <v>0</v>
      </c>
      <c r="M40" s="173"/>
      <c r="N40" s="173">
        <v>0</v>
      </c>
      <c r="O40" s="173"/>
      <c r="P40" s="173"/>
      <c r="Q40" s="173"/>
      <c r="R40" s="173">
        <v>0</v>
      </c>
      <c r="S40" s="173">
        <v>1975.4</v>
      </c>
      <c r="T40" s="173">
        <v>34226.57</v>
      </c>
      <c r="U40" s="173"/>
      <c r="V40" s="173">
        <v>0</v>
      </c>
      <c r="W40" s="173"/>
      <c r="X40" s="173"/>
      <c r="Y40" s="173">
        <v>13197.33</v>
      </c>
      <c r="Z40" s="173">
        <v>0</v>
      </c>
      <c r="AA40" s="201">
        <v>4129.1899999999996</v>
      </c>
      <c r="AB40" s="173">
        <f>SUM(C40:AA40)</f>
        <v>66890.570000000007</v>
      </c>
      <c r="AD40" s="149"/>
      <c r="AE40" s="149"/>
    </row>
    <row r="41" spans="1:31" x14ac:dyDescent="0.25">
      <c r="A41" s="159">
        <v>416</v>
      </c>
      <c r="B41" s="160" t="s">
        <v>96</v>
      </c>
      <c r="C41" s="161">
        <f t="shared" ref="C41:E41" si="53">SUM(C42:C43)</f>
        <v>8323.3799999999992</v>
      </c>
      <c r="D41" s="161">
        <f t="shared" si="53"/>
        <v>0</v>
      </c>
      <c r="E41" s="161">
        <f t="shared" si="53"/>
        <v>4453.66</v>
      </c>
      <c r="F41" s="161">
        <f t="shared" ref="F41:W41" si="54">SUM(F42:F43)</f>
        <v>291713.57</v>
      </c>
      <c r="G41" s="161">
        <f t="shared" ref="G41" si="55">SUM(G42:G43)</f>
        <v>0</v>
      </c>
      <c r="H41" s="161">
        <f t="shared" si="54"/>
        <v>114938.36</v>
      </c>
      <c r="I41" s="161">
        <f t="shared" ref="I41" si="56">SUM(I42:I43)</f>
        <v>47228.08</v>
      </c>
      <c r="J41" s="161">
        <f t="shared" si="54"/>
        <v>0</v>
      </c>
      <c r="K41" s="161">
        <f t="shared" ref="K41:L41" si="57">SUM(K42:K43)</f>
        <v>4981.12</v>
      </c>
      <c r="L41" s="161">
        <f t="shared" si="57"/>
        <v>131813.63</v>
      </c>
      <c r="M41" s="161">
        <f t="shared" ref="M41" si="58">SUM(M42:M43)</f>
        <v>7048.53</v>
      </c>
      <c r="N41" s="161">
        <f t="shared" ref="N41" si="59">SUM(N42:N43)</f>
        <v>0</v>
      </c>
      <c r="O41" s="161">
        <f t="shared" si="54"/>
        <v>242276.68</v>
      </c>
      <c r="P41" s="161">
        <f t="shared" ref="P41" si="60">SUM(P42:P43)</f>
        <v>0</v>
      </c>
      <c r="Q41" s="161">
        <f t="shared" si="54"/>
        <v>21142.400000000001</v>
      </c>
      <c r="R41" s="161">
        <f t="shared" ref="R41" si="61">SUM(R42:R43)</f>
        <v>0</v>
      </c>
      <c r="S41" s="161">
        <f>SUM(S42:S43)</f>
        <v>65870.75</v>
      </c>
      <c r="T41" s="161">
        <f t="shared" ref="T41:V41" si="62">SUM(T42:T43)</f>
        <v>431343.13</v>
      </c>
      <c r="U41" s="161">
        <f t="shared" si="62"/>
        <v>45742.37</v>
      </c>
      <c r="V41" s="161">
        <f t="shared" si="62"/>
        <v>87577.8</v>
      </c>
      <c r="W41" s="161">
        <f t="shared" si="54"/>
        <v>63249.020000000004</v>
      </c>
      <c r="X41" s="161">
        <f t="shared" ref="X41" si="63">SUM(X42:X43)</f>
        <v>0</v>
      </c>
      <c r="Y41" s="161">
        <f t="shared" ref="Y41" si="64">SUM(Y42:Y43)</f>
        <v>0</v>
      </c>
      <c r="Z41" s="161">
        <v>0</v>
      </c>
      <c r="AA41" s="202">
        <f>SUM(AA42:AA43)</f>
        <v>0</v>
      </c>
      <c r="AB41" s="161">
        <f>SUM(AB42:AB43)</f>
        <v>1567702.48</v>
      </c>
      <c r="AD41" s="149"/>
      <c r="AE41" s="149"/>
    </row>
    <row r="42" spans="1:31" x14ac:dyDescent="0.25">
      <c r="A42" s="171" t="s">
        <v>97</v>
      </c>
      <c r="B42" s="164" t="s">
        <v>98</v>
      </c>
      <c r="C42" s="165">
        <v>8323.3799999999992</v>
      </c>
      <c r="D42" s="165">
        <v>0</v>
      </c>
      <c r="E42" s="165">
        <v>4453.66</v>
      </c>
      <c r="F42" s="165">
        <v>291713.57</v>
      </c>
      <c r="G42" s="165"/>
      <c r="H42" s="165">
        <v>114938.36</v>
      </c>
      <c r="I42" s="165">
        <v>47228.08</v>
      </c>
      <c r="J42" s="165"/>
      <c r="K42" s="165">
        <v>4981.12</v>
      </c>
      <c r="L42" s="165">
        <v>131813.63</v>
      </c>
      <c r="M42" s="165"/>
      <c r="N42" s="165">
        <v>0</v>
      </c>
      <c r="O42" s="165"/>
      <c r="P42" s="165"/>
      <c r="Q42" s="165">
        <v>21142.400000000001</v>
      </c>
      <c r="R42" s="165">
        <v>0</v>
      </c>
      <c r="S42" s="165">
        <v>0</v>
      </c>
      <c r="T42" s="165">
        <v>206962.41</v>
      </c>
      <c r="U42" s="165">
        <v>45742.37</v>
      </c>
      <c r="V42" s="165">
        <v>87577.8</v>
      </c>
      <c r="W42" s="165">
        <v>25911.77</v>
      </c>
      <c r="X42" s="165"/>
      <c r="Y42" s="165"/>
      <c r="Z42" s="165">
        <v>0</v>
      </c>
      <c r="AA42" s="201">
        <v>0</v>
      </c>
      <c r="AB42" s="165">
        <f>SUM(C42:AA42)</f>
        <v>990788.55000000016</v>
      </c>
      <c r="AD42" s="149"/>
      <c r="AE42" s="149"/>
    </row>
    <row r="43" spans="1:31" x14ac:dyDescent="0.25">
      <c r="A43" s="171" t="s">
        <v>99</v>
      </c>
      <c r="B43" s="164" t="s">
        <v>100</v>
      </c>
      <c r="C43" s="173"/>
      <c r="D43" s="173">
        <v>0</v>
      </c>
      <c r="E43" s="173">
        <v>0</v>
      </c>
      <c r="F43" s="173"/>
      <c r="G43" s="173"/>
      <c r="H43" s="173"/>
      <c r="I43" s="173"/>
      <c r="J43" s="173"/>
      <c r="K43" s="173">
        <v>0</v>
      </c>
      <c r="L43" s="173">
        <v>0</v>
      </c>
      <c r="M43" s="173">
        <v>7048.53</v>
      </c>
      <c r="N43" s="173">
        <v>0</v>
      </c>
      <c r="O43" s="173">
        <v>242276.68</v>
      </c>
      <c r="P43" s="173"/>
      <c r="Q43" s="173"/>
      <c r="R43" s="173">
        <v>0</v>
      </c>
      <c r="S43" s="173">
        <v>65870.75</v>
      </c>
      <c r="T43" s="173">
        <v>224380.72</v>
      </c>
      <c r="U43" s="173"/>
      <c r="V43" s="173">
        <v>0</v>
      </c>
      <c r="W43" s="173">
        <v>37337.25</v>
      </c>
      <c r="X43" s="173"/>
      <c r="Y43" s="173"/>
      <c r="Z43" s="173">
        <v>0</v>
      </c>
      <c r="AA43" s="201">
        <v>0</v>
      </c>
      <c r="AB43" s="173">
        <f>SUM(C43:AA43)</f>
        <v>576913.92999999993</v>
      </c>
      <c r="AD43" s="149"/>
      <c r="AE43" s="149"/>
    </row>
    <row r="44" spans="1:31" x14ac:dyDescent="0.25">
      <c r="A44" s="159">
        <v>417</v>
      </c>
      <c r="B44" s="160" t="s">
        <v>101</v>
      </c>
      <c r="C44" s="161">
        <f t="shared" ref="C44" si="65">SUM(C45:C47)</f>
        <v>5550</v>
      </c>
      <c r="D44" s="161">
        <f>SUM(D45:D47)</f>
        <v>8724.7999999999993</v>
      </c>
      <c r="E44" s="161">
        <f t="shared" ref="E44" si="66">SUM(E45:E47)</f>
        <v>585.1</v>
      </c>
      <c r="F44" s="161">
        <f t="shared" ref="F44:W44" si="67">SUM(F45:F47)</f>
        <v>0</v>
      </c>
      <c r="G44" s="161">
        <f t="shared" ref="G44" si="68">SUM(G45:G47)</f>
        <v>113252.26</v>
      </c>
      <c r="H44" s="161">
        <f t="shared" si="67"/>
        <v>42872.94</v>
      </c>
      <c r="I44" s="161">
        <f t="shared" ref="I44" si="69">SUM(I45:I47)</f>
        <v>7395.17</v>
      </c>
      <c r="J44" s="161">
        <f t="shared" si="67"/>
        <v>0</v>
      </c>
      <c r="K44" s="161">
        <f t="shared" ref="K44:L44" si="70">SUM(K45:K47)</f>
        <v>13656.06</v>
      </c>
      <c r="L44" s="161">
        <f t="shared" si="70"/>
        <v>0</v>
      </c>
      <c r="M44" s="161">
        <f t="shared" ref="M44" si="71">SUM(M45:M47)</f>
        <v>0</v>
      </c>
      <c r="N44" s="161">
        <f t="shared" ref="N44" si="72">SUM(N45:N47)</f>
        <v>0</v>
      </c>
      <c r="O44" s="161">
        <f t="shared" si="67"/>
        <v>103685.14</v>
      </c>
      <c r="P44" s="161">
        <f t="shared" ref="P44" si="73">SUM(P45:P47)</f>
        <v>1950</v>
      </c>
      <c r="Q44" s="161">
        <f t="shared" si="67"/>
        <v>0</v>
      </c>
      <c r="R44" s="161">
        <f t="shared" ref="R44" si="74">SUM(R45:R47)</f>
        <v>24000.35</v>
      </c>
      <c r="S44" s="161">
        <f>SUM(S45:S47)</f>
        <v>55163.74</v>
      </c>
      <c r="T44" s="161">
        <f t="shared" ref="T44:V44" si="75">SUM(T45:T47)</f>
        <v>22347.9</v>
      </c>
      <c r="U44" s="161">
        <f t="shared" si="75"/>
        <v>0</v>
      </c>
      <c r="V44" s="161">
        <f t="shared" si="75"/>
        <v>6507.9</v>
      </c>
      <c r="W44" s="161">
        <f t="shared" si="67"/>
        <v>29023.39</v>
      </c>
      <c r="X44" s="161">
        <f t="shared" ref="X44" si="76">SUM(X45:X47)</f>
        <v>3992.72</v>
      </c>
      <c r="Y44" s="161">
        <f t="shared" ref="Y44" si="77">SUM(Y45:Y47)</f>
        <v>0</v>
      </c>
      <c r="Z44" s="161">
        <v>25369.42</v>
      </c>
      <c r="AA44" s="202">
        <f>SUM(AA45:AA47)</f>
        <v>9041.2799999999988</v>
      </c>
      <c r="AB44" s="161">
        <f>SUM(AB45:AB47)</f>
        <v>473118.17</v>
      </c>
      <c r="AD44" s="149"/>
      <c r="AE44" s="149"/>
    </row>
    <row r="45" spans="1:31" x14ac:dyDescent="0.25">
      <c r="A45" s="171" t="s">
        <v>102</v>
      </c>
      <c r="B45" s="164" t="s">
        <v>103</v>
      </c>
      <c r="C45" s="165">
        <v>5550</v>
      </c>
      <c r="D45" s="165">
        <v>0</v>
      </c>
      <c r="E45" s="165">
        <v>585.1</v>
      </c>
      <c r="F45" s="165"/>
      <c r="G45" s="165">
        <v>113252.26</v>
      </c>
      <c r="H45" s="165">
        <v>38271.33</v>
      </c>
      <c r="I45" s="165">
        <v>7395.17</v>
      </c>
      <c r="J45" s="165"/>
      <c r="K45" s="165">
        <v>13656.06</v>
      </c>
      <c r="L45" s="165">
        <v>0</v>
      </c>
      <c r="M45" s="165"/>
      <c r="N45" s="165">
        <v>0</v>
      </c>
      <c r="O45" s="165">
        <v>71973.22</v>
      </c>
      <c r="P45" s="165">
        <v>1950</v>
      </c>
      <c r="Q45" s="165"/>
      <c r="R45" s="165">
        <v>0</v>
      </c>
      <c r="S45" s="165">
        <v>55163.74</v>
      </c>
      <c r="T45" s="165">
        <v>21803.4</v>
      </c>
      <c r="U45" s="165"/>
      <c r="V45" s="165">
        <v>3000</v>
      </c>
      <c r="W45" s="165">
        <v>17411.810000000001</v>
      </c>
      <c r="X45" s="165">
        <v>3992.72</v>
      </c>
      <c r="Y45" s="165"/>
      <c r="Z45" s="165">
        <v>25369.42</v>
      </c>
      <c r="AA45" s="201">
        <v>5776.08</v>
      </c>
      <c r="AB45" s="165">
        <f>SUM(C45:AA45)</f>
        <v>385150.31</v>
      </c>
      <c r="AD45" s="149"/>
      <c r="AE45" s="149"/>
    </row>
    <row r="46" spans="1:31" x14ac:dyDescent="0.25">
      <c r="A46" s="171" t="s">
        <v>104</v>
      </c>
      <c r="B46" s="164" t="s">
        <v>105</v>
      </c>
      <c r="C46" s="173"/>
      <c r="D46" s="173">
        <v>0</v>
      </c>
      <c r="E46" s="173">
        <v>0</v>
      </c>
      <c r="F46" s="173"/>
      <c r="G46" s="173"/>
      <c r="H46" s="173">
        <v>0</v>
      </c>
      <c r="I46" s="173"/>
      <c r="J46" s="173"/>
      <c r="K46" s="173">
        <v>0</v>
      </c>
      <c r="L46" s="173">
        <v>0</v>
      </c>
      <c r="M46" s="173"/>
      <c r="N46" s="173">
        <v>0</v>
      </c>
      <c r="O46" s="173">
        <v>0</v>
      </c>
      <c r="P46" s="173"/>
      <c r="Q46" s="173"/>
      <c r="R46" s="173">
        <v>24000.35</v>
      </c>
      <c r="S46" s="173">
        <v>0</v>
      </c>
      <c r="T46" s="173">
        <v>544.5</v>
      </c>
      <c r="U46" s="173"/>
      <c r="V46" s="173">
        <v>3507.9</v>
      </c>
      <c r="W46" s="173">
        <v>0</v>
      </c>
      <c r="X46" s="173"/>
      <c r="Y46" s="173"/>
      <c r="Z46" s="173">
        <v>0</v>
      </c>
      <c r="AA46" s="201">
        <v>0</v>
      </c>
      <c r="AB46" s="173">
        <f>SUM(C46:AA46)</f>
        <v>28052.75</v>
      </c>
      <c r="AD46" s="149"/>
      <c r="AE46" s="149"/>
    </row>
    <row r="47" spans="1:31" x14ac:dyDescent="0.25">
      <c r="A47" s="171" t="s">
        <v>106</v>
      </c>
      <c r="B47" s="164" t="s">
        <v>107</v>
      </c>
      <c r="C47" s="173"/>
      <c r="D47" s="173">
        <v>8724.7999999999993</v>
      </c>
      <c r="E47" s="173">
        <v>0</v>
      </c>
      <c r="F47" s="173"/>
      <c r="G47" s="173"/>
      <c r="H47" s="173">
        <v>4601.6099999999997</v>
      </c>
      <c r="I47" s="173"/>
      <c r="J47" s="173"/>
      <c r="K47" s="173">
        <v>0</v>
      </c>
      <c r="L47" s="173">
        <v>0</v>
      </c>
      <c r="M47" s="173"/>
      <c r="N47" s="173">
        <v>0</v>
      </c>
      <c r="O47" s="173">
        <v>31711.919999999998</v>
      </c>
      <c r="P47" s="173"/>
      <c r="Q47" s="173"/>
      <c r="R47" s="173">
        <v>0</v>
      </c>
      <c r="S47" s="173">
        <v>0</v>
      </c>
      <c r="T47" s="173">
        <v>0</v>
      </c>
      <c r="U47" s="173"/>
      <c r="V47" s="173">
        <v>0</v>
      </c>
      <c r="W47" s="173">
        <v>11611.58</v>
      </c>
      <c r="X47" s="173"/>
      <c r="Y47" s="173"/>
      <c r="Z47" s="173">
        <v>0</v>
      </c>
      <c r="AA47" s="201">
        <v>3265.2</v>
      </c>
      <c r="AB47" s="173">
        <f>SUM(C47:AA47)</f>
        <v>59915.11</v>
      </c>
      <c r="AD47" s="149"/>
      <c r="AE47" s="149"/>
    </row>
    <row r="48" spans="1:31" x14ac:dyDescent="0.25">
      <c r="A48" s="159">
        <v>418</v>
      </c>
      <c r="B48" s="160" t="s">
        <v>108</v>
      </c>
      <c r="C48" s="203">
        <v>23180.62</v>
      </c>
      <c r="D48" s="203">
        <v>234830.78</v>
      </c>
      <c r="E48" s="203">
        <v>85902.2</v>
      </c>
      <c r="F48" s="203">
        <v>25156.93</v>
      </c>
      <c r="G48" s="203"/>
      <c r="H48" s="203">
        <v>27345.37</v>
      </c>
      <c r="I48" s="203">
        <v>116455.42</v>
      </c>
      <c r="J48" s="203"/>
      <c r="K48" s="203">
        <v>22690.16</v>
      </c>
      <c r="L48" s="203">
        <v>18173.04</v>
      </c>
      <c r="M48" s="203">
        <v>149080.07</v>
      </c>
      <c r="N48" s="203">
        <v>86279</v>
      </c>
      <c r="O48" s="203">
        <v>514281.2</v>
      </c>
      <c r="P48" s="203">
        <v>36872.81</v>
      </c>
      <c r="Q48" s="203">
        <v>1613</v>
      </c>
      <c r="R48" s="203">
        <v>69131.77</v>
      </c>
      <c r="S48" s="203">
        <v>1737994.64</v>
      </c>
      <c r="T48" s="203">
        <v>279071.06</v>
      </c>
      <c r="U48" s="203">
        <v>317.5</v>
      </c>
      <c r="V48" s="203">
        <v>19227.52</v>
      </c>
      <c r="W48" s="203">
        <v>28114.95</v>
      </c>
      <c r="X48" s="203">
        <v>40000</v>
      </c>
      <c r="Y48" s="203">
        <v>99296.27</v>
      </c>
      <c r="Z48" s="203">
        <v>109168.7</v>
      </c>
      <c r="AA48" s="202">
        <v>136487.26999999999</v>
      </c>
      <c r="AB48" s="203">
        <f>SUM(C48:AA48)</f>
        <v>3860670.2800000003</v>
      </c>
      <c r="AD48" s="149"/>
      <c r="AE48" s="149"/>
    </row>
    <row r="49" spans="1:31" x14ac:dyDescent="0.25">
      <c r="A49" s="159">
        <v>419</v>
      </c>
      <c r="B49" s="160" t="s">
        <v>109</v>
      </c>
      <c r="C49" s="161">
        <f t="shared" ref="C49:E49" si="78">SUM(C50:C57)</f>
        <v>22158.59</v>
      </c>
      <c r="D49" s="161">
        <f t="shared" si="78"/>
        <v>405365.57000000007</v>
      </c>
      <c r="E49" s="161">
        <f t="shared" si="78"/>
        <v>122556.66</v>
      </c>
      <c r="F49" s="161">
        <f t="shared" ref="F49:W49" si="79">SUM(F50:F57)</f>
        <v>254730.65</v>
      </c>
      <c r="G49" s="161">
        <f t="shared" ref="G49" si="80">SUM(G50:G57)</f>
        <v>603391.51</v>
      </c>
      <c r="H49" s="161">
        <f t="shared" si="79"/>
        <v>700049.01</v>
      </c>
      <c r="I49" s="161">
        <f t="shared" ref="I49" si="81">SUM(I50:I57)</f>
        <v>236832.31999999995</v>
      </c>
      <c r="J49" s="161">
        <f t="shared" si="79"/>
        <v>128407.92</v>
      </c>
      <c r="K49" s="161">
        <v>164467.46</v>
      </c>
      <c r="L49" s="161">
        <f t="shared" ref="L49" si="82">SUM(L50:L57)</f>
        <v>291560.01</v>
      </c>
      <c r="M49" s="161">
        <f t="shared" ref="M49" si="83">SUM(M50:M57)</f>
        <v>1722407.42</v>
      </c>
      <c r="N49" s="161">
        <f t="shared" ref="N49" si="84">SUM(N50:N57)</f>
        <v>529505.44999999995</v>
      </c>
      <c r="O49" s="161">
        <f t="shared" si="79"/>
        <v>1067181.8900000001</v>
      </c>
      <c r="P49" s="161">
        <f t="shared" ref="P49" si="85">SUM(P50:P57)</f>
        <v>45145.04</v>
      </c>
      <c r="Q49" s="161">
        <f t="shared" si="79"/>
        <v>68514.06</v>
      </c>
      <c r="R49" s="161">
        <f t="shared" ref="R49" si="86">SUM(R50:R57)</f>
        <v>7689.4699999999993</v>
      </c>
      <c r="S49" s="161">
        <f>SUM(S50:S57)</f>
        <v>226593.82</v>
      </c>
      <c r="T49" s="161">
        <f t="shared" ref="T49:V49" si="87">SUM(T50:T57)</f>
        <v>2020895.91</v>
      </c>
      <c r="U49" s="161">
        <f t="shared" si="87"/>
        <v>146591.56</v>
      </c>
      <c r="V49" s="161">
        <f t="shared" si="87"/>
        <v>462430.64999999997</v>
      </c>
      <c r="W49" s="161">
        <f t="shared" si="79"/>
        <v>671307.48</v>
      </c>
      <c r="X49" s="161">
        <f t="shared" ref="X49" si="88">SUM(X50:X57)</f>
        <v>299285.03000000003</v>
      </c>
      <c r="Y49" s="161">
        <f t="shared" ref="Y49" si="89">SUM(Y50:Y57)</f>
        <v>105538.12</v>
      </c>
      <c r="Z49" s="161">
        <v>160045.89000000001</v>
      </c>
      <c r="AA49" s="202">
        <f>SUM(AA50:AA57)</f>
        <v>24868.68</v>
      </c>
      <c r="AB49" s="161">
        <f>SUM(AB50:AB57)</f>
        <v>10487520.17</v>
      </c>
      <c r="AD49" s="149"/>
      <c r="AE49" s="149"/>
    </row>
    <row r="50" spans="1:31" x14ac:dyDescent="0.25">
      <c r="A50" s="171" t="s">
        <v>110</v>
      </c>
      <c r="B50" s="164" t="s">
        <v>111</v>
      </c>
      <c r="C50" s="165">
        <v>7791.24</v>
      </c>
      <c r="D50" s="165">
        <v>135482.13</v>
      </c>
      <c r="E50" s="165">
        <v>67974.33</v>
      </c>
      <c r="F50" s="165">
        <v>68935.909999999989</v>
      </c>
      <c r="G50" s="165">
        <v>152621.47</v>
      </c>
      <c r="H50" s="165">
        <v>156413.93</v>
      </c>
      <c r="I50" s="165">
        <v>147723.10999999999</v>
      </c>
      <c r="J50" s="165">
        <v>28665</v>
      </c>
      <c r="K50" s="165">
        <v>105802.84</v>
      </c>
      <c r="L50" s="165">
        <v>45940.28</v>
      </c>
      <c r="M50" s="165">
        <v>239935.91999999998</v>
      </c>
      <c r="N50" s="165">
        <v>81325.39</v>
      </c>
      <c r="O50" s="165">
        <v>681453.52</v>
      </c>
      <c r="P50" s="165">
        <v>11012.7</v>
      </c>
      <c r="Q50" s="165">
        <v>36748</v>
      </c>
      <c r="R50" s="165">
        <v>4156.57</v>
      </c>
      <c r="S50" s="165">
        <v>110907.78</v>
      </c>
      <c r="T50" s="165">
        <v>1151659.4099999999</v>
      </c>
      <c r="U50" s="165">
        <v>104697.1</v>
      </c>
      <c r="V50" s="165">
        <v>31253.42</v>
      </c>
      <c r="W50" s="165">
        <v>208887.92</v>
      </c>
      <c r="X50" s="165">
        <v>58528.03</v>
      </c>
      <c r="Y50" s="165">
        <v>42878.14</v>
      </c>
      <c r="Z50" s="165">
        <v>95766.13</v>
      </c>
      <c r="AA50" s="201">
        <v>12286.75</v>
      </c>
      <c r="AB50" s="165">
        <f t="shared" ref="AB50:AB58" si="90">SUM(C50:AA50)</f>
        <v>3788847.0199999996</v>
      </c>
      <c r="AD50" s="149"/>
      <c r="AE50" s="149"/>
    </row>
    <row r="51" spans="1:31" x14ac:dyDescent="0.25">
      <c r="A51" s="171" t="s">
        <v>112</v>
      </c>
      <c r="B51" s="164" t="s">
        <v>113</v>
      </c>
      <c r="C51" s="165">
        <v>6363.98</v>
      </c>
      <c r="D51" s="165">
        <v>61611.76</v>
      </c>
      <c r="E51" s="165">
        <v>4449.2299999999996</v>
      </c>
      <c r="F51" s="165">
        <v>115335.98000000001</v>
      </c>
      <c r="G51" s="165">
        <v>10524.83</v>
      </c>
      <c r="H51" s="165">
        <v>80972.179999999993</v>
      </c>
      <c r="I51" s="165">
        <v>3304</v>
      </c>
      <c r="J51" s="165">
        <v>25575.1</v>
      </c>
      <c r="K51" s="165">
        <v>0</v>
      </c>
      <c r="L51" s="165">
        <v>19438.36</v>
      </c>
      <c r="M51" s="165">
        <v>1033954.81</v>
      </c>
      <c r="N51" s="165">
        <v>14748</v>
      </c>
      <c r="O51" s="165">
        <v>90706.7</v>
      </c>
      <c r="P51" s="165">
        <v>1042.8</v>
      </c>
      <c r="Q51" s="165">
        <v>25845.71</v>
      </c>
      <c r="R51" s="165">
        <v>0</v>
      </c>
      <c r="S51" s="165">
        <v>68234.179999999993</v>
      </c>
      <c r="T51" s="165">
        <f>673914.2+484</f>
        <v>674398.2</v>
      </c>
      <c r="U51" s="165">
        <v>0</v>
      </c>
      <c r="V51" s="165">
        <v>98634.05</v>
      </c>
      <c r="W51" s="165">
        <v>94346.74</v>
      </c>
      <c r="X51" s="165">
        <v>32434.17</v>
      </c>
      <c r="Y51" s="165">
        <v>45360.83</v>
      </c>
      <c r="Z51" s="165">
        <v>8849</v>
      </c>
      <c r="AA51" s="201">
        <v>5212.5200000000004</v>
      </c>
      <c r="AB51" s="165">
        <f t="shared" si="90"/>
        <v>2521343.13</v>
      </c>
      <c r="AD51" s="149"/>
      <c r="AE51" s="149"/>
    </row>
    <row r="52" spans="1:31" x14ac:dyDescent="0.25">
      <c r="A52" s="171" t="s">
        <v>114</v>
      </c>
      <c r="B52" s="164" t="s">
        <v>115</v>
      </c>
      <c r="C52" s="165">
        <v>974.01</v>
      </c>
      <c r="D52" s="165">
        <v>37528.58</v>
      </c>
      <c r="E52" s="165">
        <v>2572</v>
      </c>
      <c r="F52" s="165">
        <v>22822.55</v>
      </c>
      <c r="G52" s="165">
        <v>88241.44</v>
      </c>
      <c r="H52" s="165">
        <v>8008.59</v>
      </c>
      <c r="I52" s="165">
        <v>1080</v>
      </c>
      <c r="J52" s="165">
        <v>423.5</v>
      </c>
      <c r="K52" s="165">
        <v>24895.75</v>
      </c>
      <c r="L52" s="165">
        <v>423.5</v>
      </c>
      <c r="M52" s="165">
        <v>37159.9</v>
      </c>
      <c r="N52" s="165">
        <v>2907.95</v>
      </c>
      <c r="O52" s="165">
        <v>5130.3999999999996</v>
      </c>
      <c r="P52" s="165">
        <v>1606</v>
      </c>
      <c r="Q52" s="165">
        <v>2124.8000000000002</v>
      </c>
      <c r="R52" s="165">
        <v>302.5</v>
      </c>
      <c r="S52" s="165">
        <v>5759.7</v>
      </c>
      <c r="T52" s="165">
        <v>70426.289999999994</v>
      </c>
      <c r="U52" s="165"/>
      <c r="V52" s="165">
        <v>30532.75</v>
      </c>
      <c r="W52" s="165">
        <v>5199.0600000000004</v>
      </c>
      <c r="X52" s="165">
        <v>0</v>
      </c>
      <c r="Y52" s="165"/>
      <c r="Z52" s="165">
        <v>13489.34</v>
      </c>
      <c r="AA52" s="201">
        <v>3291.2</v>
      </c>
      <c r="AB52" s="165">
        <f t="shared" si="90"/>
        <v>364899.81000000006</v>
      </c>
      <c r="AD52" s="149"/>
      <c r="AE52" s="149"/>
    </row>
    <row r="53" spans="1:31" x14ac:dyDescent="0.25">
      <c r="A53" s="171" t="s">
        <v>116</v>
      </c>
      <c r="B53" s="164" t="s">
        <v>117</v>
      </c>
      <c r="C53" s="165">
        <v>4713.29</v>
      </c>
      <c r="D53" s="165">
        <v>39169.58</v>
      </c>
      <c r="E53" s="165">
        <v>3736.8</v>
      </c>
      <c r="F53" s="165">
        <v>9191.14</v>
      </c>
      <c r="G53" s="165">
        <v>4322.3500000000004</v>
      </c>
      <c r="H53" s="165">
        <v>6262.43</v>
      </c>
      <c r="I53" s="165">
        <v>8711.99</v>
      </c>
      <c r="J53" s="165"/>
      <c r="K53" s="165">
        <v>10969.16</v>
      </c>
      <c r="L53" s="165">
        <v>5090.16</v>
      </c>
      <c r="M53" s="165">
        <v>18192.98</v>
      </c>
      <c r="N53" s="165">
        <v>7124.84</v>
      </c>
      <c r="O53" s="165">
        <v>14215.82</v>
      </c>
      <c r="P53" s="165">
        <v>2138</v>
      </c>
      <c r="Q53" s="165">
        <v>2875.74</v>
      </c>
      <c r="R53" s="165">
        <v>1155.72</v>
      </c>
      <c r="S53" s="165">
        <v>10897.74</v>
      </c>
      <c r="T53" s="165">
        <v>22246.05</v>
      </c>
      <c r="U53" s="165">
        <v>3208.72</v>
      </c>
      <c r="V53" s="165">
        <v>0</v>
      </c>
      <c r="W53" s="165">
        <v>7503.25</v>
      </c>
      <c r="X53" s="165">
        <v>2892.12</v>
      </c>
      <c r="Y53" s="165">
        <v>387</v>
      </c>
      <c r="Z53" s="165">
        <v>3531.84</v>
      </c>
      <c r="AA53" s="201">
        <v>1180</v>
      </c>
      <c r="AB53" s="165">
        <f t="shared" si="90"/>
        <v>189716.71999999997</v>
      </c>
      <c r="AD53" s="149"/>
      <c r="AE53" s="149"/>
    </row>
    <row r="54" spans="1:31" x14ac:dyDescent="0.25">
      <c r="A54" s="171" t="s">
        <v>118</v>
      </c>
      <c r="B54" s="164" t="s">
        <v>119</v>
      </c>
      <c r="C54" s="173"/>
      <c r="D54" s="173">
        <v>150</v>
      </c>
      <c r="E54" s="173">
        <v>0</v>
      </c>
      <c r="F54" s="173"/>
      <c r="G54" s="173"/>
      <c r="H54" s="173"/>
      <c r="I54" s="173"/>
      <c r="J54" s="173"/>
      <c r="K54" s="173">
        <v>600</v>
      </c>
      <c r="L54" s="173">
        <v>0</v>
      </c>
      <c r="M54" s="173"/>
      <c r="N54" s="173">
        <v>0</v>
      </c>
      <c r="O54" s="173">
        <v>5269.15</v>
      </c>
      <c r="P54" s="173"/>
      <c r="Q54" s="173"/>
      <c r="R54" s="173">
        <v>0</v>
      </c>
      <c r="S54" s="173">
        <v>0</v>
      </c>
      <c r="T54" s="173">
        <v>700</v>
      </c>
      <c r="U54" s="173"/>
      <c r="V54" s="173">
        <v>0</v>
      </c>
      <c r="W54" s="173">
        <v>0</v>
      </c>
      <c r="X54" s="173"/>
      <c r="Y54" s="173"/>
      <c r="Z54" s="173">
        <v>10000</v>
      </c>
      <c r="AA54" s="201">
        <v>0</v>
      </c>
      <c r="AB54" s="173">
        <f t="shared" si="90"/>
        <v>16719.150000000001</v>
      </c>
      <c r="AD54" s="149"/>
      <c r="AE54" s="149"/>
    </row>
    <row r="55" spans="1:31" x14ac:dyDescent="0.25">
      <c r="A55" s="171" t="s">
        <v>120</v>
      </c>
      <c r="B55" s="164" t="s">
        <v>121</v>
      </c>
      <c r="C55" s="173">
        <v>1584.29</v>
      </c>
      <c r="D55" s="173">
        <v>9593.65</v>
      </c>
      <c r="E55" s="173">
        <v>0</v>
      </c>
      <c r="F55" s="173">
        <v>8186.1100000000006</v>
      </c>
      <c r="G55" s="173"/>
      <c r="H55" s="173">
        <v>3527.95</v>
      </c>
      <c r="I55" s="173">
        <v>7578.61</v>
      </c>
      <c r="J55" s="173">
        <v>6876.1</v>
      </c>
      <c r="K55" s="173">
        <v>0</v>
      </c>
      <c r="L55" s="173">
        <v>5866.82</v>
      </c>
      <c r="M55" s="173">
        <v>45799.79</v>
      </c>
      <c r="N55" s="173">
        <v>394876.67</v>
      </c>
      <c r="O55" s="173">
        <v>14402.3</v>
      </c>
      <c r="P55" s="173">
        <v>23725</v>
      </c>
      <c r="Q55" s="173"/>
      <c r="R55" s="173">
        <v>1237.2</v>
      </c>
      <c r="S55" s="173">
        <v>0</v>
      </c>
      <c r="T55" s="173">
        <v>101465.96</v>
      </c>
      <c r="U55" s="173">
        <v>3223.74</v>
      </c>
      <c r="V55" s="173">
        <v>15160.96</v>
      </c>
      <c r="W55" s="173">
        <v>0</v>
      </c>
      <c r="X55" s="173">
        <v>13942.49</v>
      </c>
      <c r="Y55" s="173"/>
      <c r="Z55" s="173">
        <v>4690.4799999999996</v>
      </c>
      <c r="AA55" s="201">
        <v>1533.62</v>
      </c>
      <c r="AB55" s="173">
        <f t="shared" si="90"/>
        <v>663271.73999999987</v>
      </c>
      <c r="AD55" s="149"/>
      <c r="AE55" s="149"/>
    </row>
    <row r="56" spans="1:31" x14ac:dyDescent="0.25">
      <c r="A56" s="171" t="s">
        <v>122</v>
      </c>
      <c r="B56" s="164" t="s">
        <v>123</v>
      </c>
      <c r="C56" s="173">
        <v>33</v>
      </c>
      <c r="D56" s="173">
        <v>53916.74</v>
      </c>
      <c r="E56" s="173">
        <v>0</v>
      </c>
      <c r="F56" s="173"/>
      <c r="G56" s="173"/>
      <c r="H56" s="173"/>
      <c r="I56" s="173"/>
      <c r="J56" s="173">
        <v>35.049999999999997</v>
      </c>
      <c r="K56" s="173">
        <v>0</v>
      </c>
      <c r="L56" s="173">
        <v>3</v>
      </c>
      <c r="M56" s="173"/>
      <c r="N56" s="173">
        <v>0</v>
      </c>
      <c r="O56" s="173"/>
      <c r="P56" s="173"/>
      <c r="Q56" s="173"/>
      <c r="R56" s="173">
        <v>0</v>
      </c>
      <c r="S56" s="173">
        <v>1755</v>
      </c>
      <c r="T56" s="173">
        <v>0</v>
      </c>
      <c r="U56" s="173"/>
      <c r="V56" s="173">
        <v>0</v>
      </c>
      <c r="W56" s="173">
        <v>0</v>
      </c>
      <c r="X56" s="173"/>
      <c r="Y56" s="173"/>
      <c r="Z56" s="173">
        <v>0</v>
      </c>
      <c r="AA56" s="201">
        <v>0</v>
      </c>
      <c r="AB56" s="173">
        <f t="shared" si="90"/>
        <v>55742.79</v>
      </c>
      <c r="AD56" s="149"/>
      <c r="AE56" s="149"/>
    </row>
    <row r="57" spans="1:31" x14ac:dyDescent="0.25">
      <c r="A57" s="171" t="s">
        <v>124</v>
      </c>
      <c r="B57" s="164" t="s">
        <v>125</v>
      </c>
      <c r="C57" s="165">
        <v>698.78</v>
      </c>
      <c r="D57" s="165">
        <v>67913.13</v>
      </c>
      <c r="E57" s="165">
        <v>43824.3</v>
      </c>
      <c r="F57" s="165">
        <v>30258.960000000003</v>
      </c>
      <c r="G57" s="165">
        <f>39226.71+308454.71</f>
        <v>347681.42000000004</v>
      </c>
      <c r="H57" s="165">
        <v>444863.93</v>
      </c>
      <c r="I57" s="165">
        <v>68434.61</v>
      </c>
      <c r="J57" s="165">
        <v>66833.17</v>
      </c>
      <c r="K57" s="165">
        <v>22199.71</v>
      </c>
      <c r="L57" s="165">
        <v>214797.89</v>
      </c>
      <c r="M57" s="165">
        <v>347364.01999999996</v>
      </c>
      <c r="N57" s="165">
        <v>28522.6</v>
      </c>
      <c r="O57" s="165">
        <v>256004</v>
      </c>
      <c r="P57" s="165">
        <f>4394.45+1226.09</f>
        <v>5620.54</v>
      </c>
      <c r="Q57" s="165">
        <v>919.81000000000006</v>
      </c>
      <c r="R57" s="165">
        <v>837.48</v>
      </c>
      <c r="S57" s="165">
        <v>29039.42</v>
      </c>
      <c r="T57" s="165">
        <v>0</v>
      </c>
      <c r="U57" s="165">
        <v>35462</v>
      </c>
      <c r="V57" s="165">
        <v>286849.46999999997</v>
      </c>
      <c r="W57" s="165">
        <v>355370.51</v>
      </c>
      <c r="X57" s="165">
        <v>191488.22</v>
      </c>
      <c r="Y57" s="165">
        <v>16912.150000000001</v>
      </c>
      <c r="Z57" s="165">
        <v>23719.1</v>
      </c>
      <c r="AA57" s="201">
        <v>1364.59</v>
      </c>
      <c r="AB57" s="165">
        <f t="shared" si="90"/>
        <v>2886979.81</v>
      </c>
      <c r="AD57" s="149"/>
      <c r="AE57" s="149"/>
    </row>
    <row r="58" spans="1:31" s="57" customFormat="1" x14ac:dyDescent="0.25">
      <c r="A58" s="192">
        <v>42</v>
      </c>
      <c r="B58" s="193" t="s">
        <v>126</v>
      </c>
      <c r="C58" s="204"/>
      <c r="D58" s="204">
        <v>246881.42</v>
      </c>
      <c r="E58" s="204">
        <v>0</v>
      </c>
      <c r="F58" s="204">
        <v>170710.07</v>
      </c>
      <c r="G58" s="204"/>
      <c r="H58" s="204"/>
      <c r="I58" s="204"/>
      <c r="J58" s="204">
        <v>124.78</v>
      </c>
      <c r="K58" s="204"/>
      <c r="L58" s="204">
        <v>75867.28</v>
      </c>
      <c r="M58" s="204">
        <v>763.5</v>
      </c>
      <c r="N58" s="204">
        <v>84853.86</v>
      </c>
      <c r="O58" s="204">
        <v>1539080.19</v>
      </c>
      <c r="P58" s="204">
        <v>16068.91</v>
      </c>
      <c r="Q58" s="204">
        <v>3870.3999999999996</v>
      </c>
      <c r="R58" s="204">
        <v>17313.349999999999</v>
      </c>
      <c r="S58" s="204">
        <v>838192.4</v>
      </c>
      <c r="T58" s="204">
        <v>0</v>
      </c>
      <c r="U58" s="204">
        <v>2530</v>
      </c>
      <c r="V58" s="204">
        <v>0</v>
      </c>
      <c r="W58" s="204">
        <v>0</v>
      </c>
      <c r="X58" s="204"/>
      <c r="Y58" s="205">
        <v>4560.13</v>
      </c>
      <c r="Z58" s="205">
        <v>0</v>
      </c>
      <c r="AA58" s="206">
        <v>0</v>
      </c>
      <c r="AB58" s="204">
        <f t="shared" si="90"/>
        <v>3000816.29</v>
      </c>
      <c r="AD58" s="207"/>
      <c r="AE58" s="207"/>
    </row>
    <row r="59" spans="1:31" x14ac:dyDescent="0.25">
      <c r="A59" s="192">
        <v>43</v>
      </c>
      <c r="B59" s="193" t="s">
        <v>127</v>
      </c>
      <c r="C59" s="194">
        <f t="shared" ref="C59:E59" si="91">+C60+C70</f>
        <v>1171777.6099999999</v>
      </c>
      <c r="D59" s="194">
        <f t="shared" si="91"/>
        <v>6962976.0199999996</v>
      </c>
      <c r="E59" s="194">
        <f t="shared" si="91"/>
        <v>1908761.36</v>
      </c>
      <c r="F59" s="194">
        <f t="shared" ref="F59:R59" si="92">+F60+F70</f>
        <v>4631894.8999999994</v>
      </c>
      <c r="G59" s="194">
        <f t="shared" si="92"/>
        <v>12012453.99</v>
      </c>
      <c r="H59" s="194">
        <f t="shared" si="92"/>
        <v>3181798.28</v>
      </c>
      <c r="I59" s="194">
        <f t="shared" si="92"/>
        <v>914997.3</v>
      </c>
      <c r="J59" s="194">
        <f t="shared" si="92"/>
        <v>736730</v>
      </c>
      <c r="K59" s="194">
        <f t="shared" si="92"/>
        <v>8208098.8699999992</v>
      </c>
      <c r="L59" s="194">
        <f t="shared" si="92"/>
        <v>908700.1</v>
      </c>
      <c r="M59" s="194">
        <f t="shared" si="92"/>
        <v>5672166.79</v>
      </c>
      <c r="N59" s="194">
        <f t="shared" si="92"/>
        <v>880786.51</v>
      </c>
      <c r="O59" s="194">
        <f t="shared" si="92"/>
        <v>9235584.0399999991</v>
      </c>
      <c r="P59" s="194">
        <f t="shared" si="92"/>
        <v>330649.83</v>
      </c>
      <c r="Q59" s="194">
        <f t="shared" si="92"/>
        <v>1567056.48</v>
      </c>
      <c r="R59" s="194">
        <f t="shared" si="92"/>
        <v>115531.32</v>
      </c>
      <c r="S59" s="194">
        <f>S60+S70</f>
        <v>3361712.6700000004</v>
      </c>
      <c r="T59" s="194">
        <f t="shared" ref="T59:V59" si="93">+T60+T70</f>
        <v>19516190.169999998</v>
      </c>
      <c r="U59" s="194">
        <f t="shared" si="93"/>
        <v>3143176.4200000004</v>
      </c>
      <c r="V59" s="194">
        <f t="shared" si="93"/>
        <v>5826252.21</v>
      </c>
      <c r="W59" s="194">
        <f t="shared" ref="W59:Y59" si="94">+W60+W70</f>
        <v>2705140.27</v>
      </c>
      <c r="X59" s="194">
        <f t="shared" si="94"/>
        <v>797123.14999999991</v>
      </c>
      <c r="Y59" s="195">
        <f t="shared" si="94"/>
        <v>752758.78999999992</v>
      </c>
      <c r="Z59" s="195">
        <v>1925081</v>
      </c>
      <c r="AA59" s="206">
        <f>SUM(AA60+AA70)</f>
        <v>418530.45</v>
      </c>
      <c r="AB59" s="194">
        <f>+AB60+AB70</f>
        <v>96885928.530000016</v>
      </c>
      <c r="AD59" s="149"/>
      <c r="AE59" s="149"/>
    </row>
    <row r="60" spans="1:31" x14ac:dyDescent="0.25">
      <c r="A60" s="159">
        <v>431</v>
      </c>
      <c r="B60" s="160" t="s">
        <v>127</v>
      </c>
      <c r="C60" s="161">
        <f t="shared" ref="C60:E60" si="95">SUM(C61:C69)</f>
        <v>586228.51</v>
      </c>
      <c r="D60" s="161">
        <f t="shared" si="95"/>
        <v>3500908.13</v>
      </c>
      <c r="E60" s="161">
        <f t="shared" si="95"/>
        <v>836898.84000000008</v>
      </c>
      <c r="F60" s="161">
        <f t="shared" ref="F60:Q60" si="96">SUM(F61:F69)</f>
        <v>3780174.4399999995</v>
      </c>
      <c r="G60" s="161">
        <f t="shared" ref="G60" si="97">SUM(G61:G69)</f>
        <v>7659284.3900000006</v>
      </c>
      <c r="H60" s="161">
        <f t="shared" si="96"/>
        <v>2039108.0799999998</v>
      </c>
      <c r="I60" s="161">
        <f t="shared" ref="I60" si="98">SUM(I61:I69)</f>
        <v>763906.66</v>
      </c>
      <c r="J60" s="161">
        <f t="shared" si="96"/>
        <v>504730</v>
      </c>
      <c r="K60" s="161">
        <f t="shared" ref="K60:L60" si="99">SUM(K61:K69)</f>
        <v>3691836.1999999997</v>
      </c>
      <c r="L60" s="161">
        <f t="shared" si="99"/>
        <v>696795.32</v>
      </c>
      <c r="M60" s="161">
        <f t="shared" ref="M60" si="100">SUM(M61:M69)</f>
        <v>3818299.09</v>
      </c>
      <c r="N60" s="161">
        <f t="shared" ref="N60" si="101">SUM(N61:N69)</f>
        <v>681407.86</v>
      </c>
      <c r="O60" s="161">
        <f t="shared" si="96"/>
        <v>5039518.8099999996</v>
      </c>
      <c r="P60" s="161">
        <f t="shared" ref="P60" si="102">SUM(P61:P69)</f>
        <v>127557.04</v>
      </c>
      <c r="Q60" s="161">
        <f t="shared" si="96"/>
        <v>1235069.3700000001</v>
      </c>
      <c r="R60" s="161">
        <f t="shared" ref="R60" si="103">SUM(R61:R69)</f>
        <v>51073.7</v>
      </c>
      <c r="S60" s="161">
        <f>SUM(S61:S69)</f>
        <v>2206272.5300000003</v>
      </c>
      <c r="T60" s="161">
        <f t="shared" ref="T60:V60" si="104">SUM(T61:T69)</f>
        <v>5200880.72</v>
      </c>
      <c r="U60" s="161">
        <f t="shared" si="104"/>
        <v>749625.47000000009</v>
      </c>
      <c r="V60" s="161">
        <f t="shared" si="104"/>
        <v>1868337.7499999998</v>
      </c>
      <c r="W60" s="161">
        <f t="shared" ref="W60" si="105">SUM(W61:W69)</f>
        <v>311167.5</v>
      </c>
      <c r="X60" s="161">
        <f t="shared" ref="X60" si="106">SUM(X61:X69)</f>
        <v>465938.58999999997</v>
      </c>
      <c r="Y60" s="161">
        <f t="shared" ref="Y60" si="107">SUM(Y61:Y69)</f>
        <v>196033.34</v>
      </c>
      <c r="Z60" s="161">
        <v>1032831</v>
      </c>
      <c r="AA60" s="202">
        <f>SUM(AA61:AA69)</f>
        <v>318530.45</v>
      </c>
      <c r="AB60" s="161">
        <f>SUM(AB61:AB69)</f>
        <v>47362413.790000007</v>
      </c>
      <c r="AD60" s="149"/>
      <c r="AE60" s="149"/>
    </row>
    <row r="61" spans="1:31" x14ac:dyDescent="0.25">
      <c r="A61" s="171" t="s">
        <v>128</v>
      </c>
      <c r="B61" s="164" t="s">
        <v>129</v>
      </c>
      <c r="C61" s="173"/>
      <c r="D61" s="173">
        <v>0</v>
      </c>
      <c r="E61" s="173">
        <v>0</v>
      </c>
      <c r="F61" s="173">
        <v>8600.7000000000007</v>
      </c>
      <c r="G61" s="173">
        <v>200000</v>
      </c>
      <c r="H61" s="173">
        <v>0</v>
      </c>
      <c r="I61" s="173"/>
      <c r="J61" s="173"/>
      <c r="K61" s="173">
        <v>10640.7</v>
      </c>
      <c r="L61" s="173">
        <v>0</v>
      </c>
      <c r="M61" s="173"/>
      <c r="N61" s="173">
        <v>0</v>
      </c>
      <c r="O61" s="173">
        <v>0</v>
      </c>
      <c r="P61" s="173"/>
      <c r="Q61" s="173">
        <v>0</v>
      </c>
      <c r="R61" s="173">
        <v>1100</v>
      </c>
      <c r="S61" s="173">
        <v>2699</v>
      </c>
      <c r="T61" s="173">
        <v>0</v>
      </c>
      <c r="U61" s="173"/>
      <c r="V61" s="173">
        <v>3750</v>
      </c>
      <c r="W61" s="173">
        <v>18742.5</v>
      </c>
      <c r="X61" s="173">
        <v>3200</v>
      </c>
      <c r="Y61" s="173"/>
      <c r="Z61" s="173">
        <v>0</v>
      </c>
      <c r="AA61" s="201">
        <v>0</v>
      </c>
      <c r="AB61" s="173">
        <f>SUM(C61:AA61)</f>
        <v>248732.90000000002</v>
      </c>
      <c r="AD61" s="149"/>
      <c r="AE61" s="149"/>
    </row>
    <row r="62" spans="1:31" x14ac:dyDescent="0.25">
      <c r="A62" s="171" t="s">
        <v>130</v>
      </c>
      <c r="B62" s="164" t="s">
        <v>131</v>
      </c>
      <c r="C62" s="165"/>
      <c r="D62" s="165">
        <v>207654.17</v>
      </c>
      <c r="E62" s="165">
        <v>3999.15</v>
      </c>
      <c r="F62" s="165">
        <v>0</v>
      </c>
      <c r="G62" s="165">
        <f>74932.36+12888.84+93204.86</f>
        <v>181026.06</v>
      </c>
      <c r="H62" s="165">
        <v>13098.13</v>
      </c>
      <c r="I62" s="165">
        <v>7100</v>
      </c>
      <c r="J62" s="165"/>
      <c r="K62" s="165">
        <v>0</v>
      </c>
      <c r="L62" s="165">
        <v>0</v>
      </c>
      <c r="M62" s="165">
        <v>63247.56</v>
      </c>
      <c r="N62" s="165">
        <v>0</v>
      </c>
      <c r="O62" s="165">
        <v>36345.65</v>
      </c>
      <c r="P62" s="165"/>
      <c r="Q62" s="165">
        <v>6593.6</v>
      </c>
      <c r="R62" s="165">
        <v>10320.799999999999</v>
      </c>
      <c r="S62" s="165">
        <v>72149.25</v>
      </c>
      <c r="T62" s="165">
        <v>0</v>
      </c>
      <c r="U62" s="165">
        <v>8255</v>
      </c>
      <c r="V62" s="165">
        <v>0</v>
      </c>
      <c r="W62" s="165">
        <v>1500</v>
      </c>
      <c r="X62" s="165">
        <v>31898.799999999999</v>
      </c>
      <c r="Y62" s="165"/>
      <c r="Z62" s="165">
        <v>0</v>
      </c>
      <c r="AA62" s="201">
        <v>3740</v>
      </c>
      <c r="AB62" s="165">
        <f t="shared" ref="AB62:AB69" si="108">SUM(C62:AA62)</f>
        <v>646928.17000000004</v>
      </c>
      <c r="AD62" s="149"/>
      <c r="AE62" s="149"/>
    </row>
    <row r="63" spans="1:31" x14ac:dyDescent="0.25">
      <c r="A63" s="171" t="s">
        <v>132</v>
      </c>
      <c r="B63" s="164" t="s">
        <v>133</v>
      </c>
      <c r="C63" s="165">
        <v>300264.07</v>
      </c>
      <c r="D63" s="165">
        <v>2007125.36</v>
      </c>
      <c r="E63" s="165">
        <v>191500.08</v>
      </c>
      <c r="F63" s="165">
        <v>1877389.41</v>
      </c>
      <c r="G63" s="165">
        <f>2104700+652020.48</f>
        <v>2756720.48</v>
      </c>
      <c r="H63" s="165">
        <v>1118620</v>
      </c>
      <c r="I63" s="165">
        <v>246489.99</v>
      </c>
      <c r="J63" s="165">
        <v>272690</v>
      </c>
      <c r="K63" s="165">
        <v>2279696.4</v>
      </c>
      <c r="L63" s="165">
        <v>430789.01</v>
      </c>
      <c r="M63" s="165">
        <v>2108436.2599999998</v>
      </c>
      <c r="N63" s="165">
        <v>208131.46</v>
      </c>
      <c r="O63" s="165">
        <v>1613805.01</v>
      </c>
      <c r="P63" s="165">
        <f>750+9225.56</f>
        <v>9975.56</v>
      </c>
      <c r="Q63" s="165">
        <v>702185.3600000001</v>
      </c>
      <c r="R63" s="165">
        <v>6850</v>
      </c>
      <c r="S63" s="165">
        <v>664494.15</v>
      </c>
      <c r="T63" s="165">
        <v>3153354.5</v>
      </c>
      <c r="U63" s="165">
        <v>262222.53000000003</v>
      </c>
      <c r="V63" s="165">
        <v>931412.69</v>
      </c>
      <c r="W63" s="165">
        <v>178700</v>
      </c>
      <c r="X63" s="165">
        <v>179885.77</v>
      </c>
      <c r="Y63" s="165"/>
      <c r="Z63" s="165">
        <v>644403</v>
      </c>
      <c r="AA63" s="201">
        <v>126100</v>
      </c>
      <c r="AB63" s="165">
        <f t="shared" si="108"/>
        <v>22271241.090000004</v>
      </c>
      <c r="AD63" s="149"/>
      <c r="AE63" s="149"/>
    </row>
    <row r="64" spans="1:31" x14ac:dyDescent="0.25">
      <c r="A64" s="171" t="s">
        <v>134</v>
      </c>
      <c r="B64" s="164" t="s">
        <v>135</v>
      </c>
      <c r="C64" s="173">
        <v>3900</v>
      </c>
      <c r="D64" s="173">
        <v>229740</v>
      </c>
      <c r="E64" s="173">
        <v>3556.67</v>
      </c>
      <c r="F64" s="173">
        <v>155400</v>
      </c>
      <c r="G64" s="173">
        <v>96279</v>
      </c>
      <c r="H64" s="173">
        <v>24028.97</v>
      </c>
      <c r="I64" s="173">
        <v>0</v>
      </c>
      <c r="J64" s="173"/>
      <c r="K64" s="173">
        <v>156713.51999999999</v>
      </c>
      <c r="L64" s="173">
        <v>10000</v>
      </c>
      <c r="M64" s="173">
        <v>100698.75</v>
      </c>
      <c r="N64" s="173">
        <v>0</v>
      </c>
      <c r="O64" s="173">
        <v>186608.9</v>
      </c>
      <c r="P64" s="173">
        <v>0</v>
      </c>
      <c r="Q64" s="173">
        <v>15900</v>
      </c>
      <c r="R64" s="173">
        <v>0</v>
      </c>
      <c r="S64" s="173">
        <v>2053.0300000000002</v>
      </c>
      <c r="T64" s="173">
        <v>23773.19</v>
      </c>
      <c r="U64" s="173">
        <v>14999.96</v>
      </c>
      <c r="V64" s="173">
        <v>73045.259999999995</v>
      </c>
      <c r="W64" s="173">
        <v>33115</v>
      </c>
      <c r="X64" s="173">
        <v>10000</v>
      </c>
      <c r="Y64" s="173"/>
      <c r="Z64" s="173">
        <v>45000</v>
      </c>
      <c r="AA64" s="201">
        <v>11250</v>
      </c>
      <c r="AB64" s="173">
        <f t="shared" si="108"/>
        <v>1196062.25</v>
      </c>
      <c r="AD64" s="149"/>
      <c r="AE64" s="149"/>
    </row>
    <row r="65" spans="1:31" x14ac:dyDescent="0.25">
      <c r="A65" s="171" t="s">
        <v>136</v>
      </c>
      <c r="B65" s="164" t="s">
        <v>137</v>
      </c>
      <c r="C65" s="165">
        <v>20729.169999999998</v>
      </c>
      <c r="D65" s="165">
        <v>185324.03</v>
      </c>
      <c r="E65" s="165">
        <v>32920.51</v>
      </c>
      <c r="F65" s="165">
        <v>166034.72999999998</v>
      </c>
      <c r="G65" s="165">
        <f>186505.24+12296.22+68067.82</f>
        <v>266869.28000000003</v>
      </c>
      <c r="H65" s="165">
        <v>0</v>
      </c>
      <c r="I65" s="165">
        <v>35450.879999999997</v>
      </c>
      <c r="J65" s="165"/>
      <c r="K65" s="165">
        <v>424442.84</v>
      </c>
      <c r="L65" s="165">
        <v>86106.08</v>
      </c>
      <c r="M65" s="165">
        <v>306719.23</v>
      </c>
      <c r="N65" s="165">
        <v>44838.75</v>
      </c>
      <c r="O65" s="165">
        <v>471874.61</v>
      </c>
      <c r="P65" s="165">
        <v>9378.2999999999993</v>
      </c>
      <c r="Q65" s="165">
        <v>26723.05</v>
      </c>
      <c r="R65" s="165">
        <v>0</v>
      </c>
      <c r="S65" s="165">
        <v>158997.20000000001</v>
      </c>
      <c r="T65" s="165">
        <v>532562.85</v>
      </c>
      <c r="U65" s="165">
        <v>92967.1</v>
      </c>
      <c r="V65" s="165">
        <v>137433.23000000001</v>
      </c>
      <c r="W65" s="165">
        <v>0</v>
      </c>
      <c r="X65" s="165">
        <v>102458.63</v>
      </c>
      <c r="Y65" s="165">
        <v>25666.720000000001</v>
      </c>
      <c r="Z65" s="165">
        <v>70778.009999999995</v>
      </c>
      <c r="AA65" s="201">
        <v>19245.88</v>
      </c>
      <c r="AB65" s="165">
        <f t="shared" si="108"/>
        <v>3217521.08</v>
      </c>
      <c r="AD65" s="149"/>
      <c r="AE65" s="149"/>
    </row>
    <row r="66" spans="1:31" x14ac:dyDescent="0.25">
      <c r="A66" s="171" t="s">
        <v>138</v>
      </c>
      <c r="B66" s="164" t="s">
        <v>139</v>
      </c>
      <c r="C66" s="165">
        <v>7900</v>
      </c>
      <c r="D66" s="165">
        <v>83570</v>
      </c>
      <c r="E66" s="165">
        <v>21226.9</v>
      </c>
      <c r="F66" s="165">
        <v>0</v>
      </c>
      <c r="G66" s="165">
        <v>111390</v>
      </c>
      <c r="H66" s="165">
        <v>91100.4</v>
      </c>
      <c r="I66" s="165">
        <v>12240</v>
      </c>
      <c r="J66" s="165">
        <v>5600</v>
      </c>
      <c r="K66" s="165">
        <v>237194.3</v>
      </c>
      <c r="L66" s="165">
        <v>13670</v>
      </c>
      <c r="M66" s="165">
        <v>15030</v>
      </c>
      <c r="N66" s="165">
        <v>0</v>
      </c>
      <c r="O66" s="165">
        <v>179042.96</v>
      </c>
      <c r="P66" s="165">
        <v>4450</v>
      </c>
      <c r="Q66" s="165">
        <v>8660</v>
      </c>
      <c r="R66" s="165">
        <v>17000</v>
      </c>
      <c r="S66" s="165">
        <v>225815.02</v>
      </c>
      <c r="T66" s="165">
        <v>121320</v>
      </c>
      <c r="U66" s="165">
        <v>69721.08</v>
      </c>
      <c r="V66" s="165">
        <v>121992.4</v>
      </c>
      <c r="W66" s="165">
        <v>30400</v>
      </c>
      <c r="X66" s="165">
        <v>40374.480000000003</v>
      </c>
      <c r="Y66" s="165"/>
      <c r="Z66" s="165">
        <v>62540</v>
      </c>
      <c r="AA66" s="201">
        <v>2150</v>
      </c>
      <c r="AB66" s="165">
        <f t="shared" si="108"/>
        <v>1482387.54</v>
      </c>
      <c r="AD66" s="149"/>
      <c r="AE66" s="149"/>
    </row>
    <row r="67" spans="1:31" x14ac:dyDescent="0.25">
      <c r="A67" s="171" t="s">
        <v>140</v>
      </c>
      <c r="B67" s="164" t="s">
        <v>141</v>
      </c>
      <c r="C67" s="166"/>
      <c r="D67" s="166">
        <v>3091.59</v>
      </c>
      <c r="E67" s="166">
        <v>0</v>
      </c>
      <c r="F67" s="166">
        <v>32944.07</v>
      </c>
      <c r="G67" s="166"/>
      <c r="H67" s="166">
        <v>0</v>
      </c>
      <c r="I67" s="166"/>
      <c r="J67" s="166"/>
      <c r="K67" s="166">
        <v>0</v>
      </c>
      <c r="L67" s="166">
        <v>9258.1299999999992</v>
      </c>
      <c r="M67" s="166"/>
      <c r="N67" s="166">
        <v>0</v>
      </c>
      <c r="O67" s="166">
        <v>0</v>
      </c>
      <c r="P67" s="166"/>
      <c r="Q67" s="166">
        <v>0</v>
      </c>
      <c r="R67" s="166">
        <v>1848.92</v>
      </c>
      <c r="S67" s="166">
        <v>0</v>
      </c>
      <c r="T67" s="166">
        <v>0</v>
      </c>
      <c r="U67" s="166"/>
      <c r="V67" s="166">
        <v>13574.46</v>
      </c>
      <c r="W67" s="166">
        <v>0</v>
      </c>
      <c r="X67" s="166"/>
      <c r="Y67" s="166"/>
      <c r="Z67" s="166">
        <v>0</v>
      </c>
      <c r="AA67" s="201">
        <v>0</v>
      </c>
      <c r="AB67" s="166">
        <f t="shared" si="108"/>
        <v>60717.17</v>
      </c>
      <c r="AD67" s="149"/>
      <c r="AE67" s="149"/>
    </row>
    <row r="68" spans="1:31" x14ac:dyDescent="0.25">
      <c r="A68" s="171" t="s">
        <v>142</v>
      </c>
      <c r="B68" s="164" t="s">
        <v>143</v>
      </c>
      <c r="C68" s="165">
        <v>14000</v>
      </c>
      <c r="D68" s="165">
        <v>435470</v>
      </c>
      <c r="E68" s="165">
        <v>14688</v>
      </c>
      <c r="F68" s="165">
        <v>514371.5</v>
      </c>
      <c r="G68" s="165">
        <v>90780</v>
      </c>
      <c r="H68" s="165">
        <v>576315.74</v>
      </c>
      <c r="I68" s="165">
        <v>84031.16</v>
      </c>
      <c r="J68" s="165">
        <v>22440</v>
      </c>
      <c r="K68" s="165">
        <v>141948</v>
      </c>
      <c r="L68" s="165">
        <v>32862.1</v>
      </c>
      <c r="M68" s="165">
        <v>218490.33000000002</v>
      </c>
      <c r="N68" s="165">
        <v>93766</v>
      </c>
      <c r="O68" s="165">
        <v>371823.13</v>
      </c>
      <c r="P68" s="165">
        <v>8380</v>
      </c>
      <c r="Q68" s="165">
        <v>60700</v>
      </c>
      <c r="R68" s="165">
        <v>922.56</v>
      </c>
      <c r="S68" s="165">
        <v>158186.6</v>
      </c>
      <c r="T68" s="166">
        <v>954231.47</v>
      </c>
      <c r="U68" s="165">
        <v>57850</v>
      </c>
      <c r="V68" s="165">
        <v>75540.899999999994</v>
      </c>
      <c r="W68" s="165">
        <v>43100</v>
      </c>
      <c r="X68" s="165">
        <v>15000</v>
      </c>
      <c r="Y68" s="170">
        <v>125272.02</v>
      </c>
      <c r="Z68" s="170">
        <v>49783.48</v>
      </c>
      <c r="AA68" s="201">
        <v>49044.57</v>
      </c>
      <c r="AB68" s="165">
        <f t="shared" si="108"/>
        <v>4208997.5599999996</v>
      </c>
      <c r="AD68" s="149"/>
      <c r="AE68" s="149"/>
    </row>
    <row r="69" spans="1:31" x14ac:dyDescent="0.25">
      <c r="A69" s="171" t="s">
        <v>144</v>
      </c>
      <c r="B69" s="164" t="s">
        <v>145</v>
      </c>
      <c r="C69" s="165">
        <v>239435.27</v>
      </c>
      <c r="D69" s="165">
        <v>348932.98</v>
      </c>
      <c r="E69" s="165">
        <v>569007.53</v>
      </c>
      <c r="F69" s="165">
        <v>1025434.03</v>
      </c>
      <c r="G69" s="165">
        <f>10000+6347.55+734715.16+502900.81+429053.83+960895.72+516462.77+741765.06+38664+15414.67</f>
        <v>3956219.5700000003</v>
      </c>
      <c r="H69" s="165">
        <v>215944.84</v>
      </c>
      <c r="I69" s="165">
        <v>378594.63</v>
      </c>
      <c r="J69" s="165">
        <v>204000</v>
      </c>
      <c r="K69" s="165">
        <v>441200.44</v>
      </c>
      <c r="L69" s="165">
        <v>114110</v>
      </c>
      <c r="M69" s="165">
        <v>1005676.9600000001</v>
      </c>
      <c r="N69" s="165">
        <v>334671.65000000002</v>
      </c>
      <c r="O69" s="165">
        <v>2180018.5499999998</v>
      </c>
      <c r="P69" s="165">
        <f>3748.07+46003.11+45622</f>
        <v>95373.18</v>
      </c>
      <c r="Q69" s="165">
        <v>414307.36</v>
      </c>
      <c r="R69" s="165">
        <v>13031.42</v>
      </c>
      <c r="S69" s="165">
        <v>921878.28</v>
      </c>
      <c r="T69" s="165">
        <v>415638.71</v>
      </c>
      <c r="U69" s="165">
        <v>243609.8</v>
      </c>
      <c r="V69" s="165">
        <v>511588.81</v>
      </c>
      <c r="W69" s="165">
        <v>5610</v>
      </c>
      <c r="X69" s="165">
        <v>83120.91</v>
      </c>
      <c r="Y69" s="170">
        <v>45094.6</v>
      </c>
      <c r="Z69" s="170">
        <v>160326.51</v>
      </c>
      <c r="AA69" s="201">
        <v>107000</v>
      </c>
      <c r="AB69" s="165">
        <f t="shared" si="108"/>
        <v>14029826.030000003</v>
      </c>
      <c r="AD69" s="149"/>
      <c r="AE69" s="149"/>
    </row>
    <row r="70" spans="1:31" x14ac:dyDescent="0.25">
      <c r="A70" s="159">
        <v>432</v>
      </c>
      <c r="B70" s="160" t="s">
        <v>146</v>
      </c>
      <c r="C70" s="161">
        <f t="shared" ref="C70:E70" si="109">SUM(C71:C73)</f>
        <v>585549.1</v>
      </c>
      <c r="D70" s="161">
        <f t="shared" si="109"/>
        <v>3462067.89</v>
      </c>
      <c r="E70" s="161">
        <f t="shared" si="109"/>
        <v>1071862.52</v>
      </c>
      <c r="F70" s="161">
        <f t="shared" ref="F70:W70" si="110">SUM(F71:F73)</f>
        <v>851720.46000000008</v>
      </c>
      <c r="G70" s="161">
        <f t="shared" ref="G70" si="111">SUM(G71:G73)</f>
        <v>4353169.5999999996</v>
      </c>
      <c r="H70" s="161">
        <f t="shared" si="110"/>
        <v>1142690.2</v>
      </c>
      <c r="I70" s="161">
        <f t="shared" ref="I70" si="112">SUM(I71:I73)</f>
        <v>151090.64000000001</v>
      </c>
      <c r="J70" s="161">
        <f t="shared" si="110"/>
        <v>232000</v>
      </c>
      <c r="K70" s="161">
        <f t="shared" ref="K70:L70" si="113">SUM(K71:K73)</f>
        <v>4516262.67</v>
      </c>
      <c r="L70" s="161">
        <f t="shared" si="113"/>
        <v>211904.78</v>
      </c>
      <c r="M70" s="161">
        <f t="shared" ref="M70" si="114">SUM(M71:M73)</f>
        <v>1853867.7</v>
      </c>
      <c r="N70" s="161">
        <f t="shared" ref="N70" si="115">SUM(N71:N73)</f>
        <v>199378.65</v>
      </c>
      <c r="O70" s="161">
        <f t="shared" si="110"/>
        <v>4196065.2300000004</v>
      </c>
      <c r="P70" s="161">
        <f t="shared" ref="P70" si="116">SUM(P71:P73)</f>
        <v>203092.79</v>
      </c>
      <c r="Q70" s="161">
        <f t="shared" si="110"/>
        <v>331987.11</v>
      </c>
      <c r="R70" s="161">
        <f t="shared" ref="R70" si="117">SUM(R71:R73)</f>
        <v>64457.62</v>
      </c>
      <c r="S70" s="161">
        <f>SUM(S71:S73)</f>
        <v>1155440.1400000001</v>
      </c>
      <c r="T70" s="161">
        <f t="shared" ref="T70:V70" si="118">SUM(T71:T73)</f>
        <v>14315309.449999999</v>
      </c>
      <c r="U70" s="161">
        <f t="shared" si="118"/>
        <v>2393550.9500000002</v>
      </c>
      <c r="V70" s="161">
        <f t="shared" si="118"/>
        <v>3957914.46</v>
      </c>
      <c r="W70" s="161">
        <f t="shared" si="110"/>
        <v>2393972.77</v>
      </c>
      <c r="X70" s="161">
        <f t="shared" ref="X70" si="119">SUM(X71:X73)</f>
        <v>331184.56</v>
      </c>
      <c r="Y70" s="161">
        <f t="shared" ref="Y70" si="120">SUM(Y71:Y73)</f>
        <v>556725.44999999995</v>
      </c>
      <c r="Z70" s="161">
        <v>892250</v>
      </c>
      <c r="AA70" s="202">
        <f>SUM(AA71:AA73)</f>
        <v>100000</v>
      </c>
      <c r="AB70" s="161">
        <f>SUM(AB71:AB73)</f>
        <v>49523514.74000001</v>
      </c>
      <c r="AD70" s="149"/>
      <c r="AE70" s="149"/>
    </row>
    <row r="71" spans="1:31" x14ac:dyDescent="0.25">
      <c r="A71" s="171" t="s">
        <v>147</v>
      </c>
      <c r="B71" s="164" t="s">
        <v>148</v>
      </c>
      <c r="C71" s="173"/>
      <c r="D71" s="173">
        <v>0</v>
      </c>
      <c r="E71" s="173">
        <v>0</v>
      </c>
      <c r="F71" s="173"/>
      <c r="G71" s="173"/>
      <c r="H71" s="173"/>
      <c r="I71" s="173"/>
      <c r="J71" s="173"/>
      <c r="K71" s="173">
        <v>0</v>
      </c>
      <c r="L71" s="173">
        <v>0</v>
      </c>
      <c r="M71" s="173">
        <v>0</v>
      </c>
      <c r="N71" s="173">
        <v>0</v>
      </c>
      <c r="O71" s="173"/>
      <c r="P71" s="173"/>
      <c r="Q71" s="173"/>
      <c r="R71" s="173">
        <v>0</v>
      </c>
      <c r="S71" s="173">
        <v>41739.120000000003</v>
      </c>
      <c r="T71" s="173">
        <v>20000</v>
      </c>
      <c r="U71" s="173"/>
      <c r="V71" s="173">
        <v>0</v>
      </c>
      <c r="W71" s="173"/>
      <c r="X71" s="173"/>
      <c r="Y71" s="173"/>
      <c r="Z71" s="173">
        <v>0</v>
      </c>
      <c r="AA71" s="201">
        <v>0</v>
      </c>
      <c r="AB71" s="173">
        <f>SUM(C71:AA71)</f>
        <v>61739.12</v>
      </c>
      <c r="AD71" s="149"/>
      <c r="AE71" s="149"/>
    </row>
    <row r="72" spans="1:31" x14ac:dyDescent="0.25">
      <c r="A72" s="171" t="s">
        <v>149</v>
      </c>
      <c r="B72" s="164" t="s">
        <v>150</v>
      </c>
      <c r="C72" s="173"/>
      <c r="D72" s="173">
        <v>0</v>
      </c>
      <c r="E72" s="173">
        <v>0</v>
      </c>
      <c r="F72" s="173"/>
      <c r="G72" s="173"/>
      <c r="H72" s="173"/>
      <c r="I72" s="173"/>
      <c r="J72" s="173"/>
      <c r="K72" s="173">
        <v>0</v>
      </c>
      <c r="L72" s="173">
        <v>0</v>
      </c>
      <c r="M72" s="173">
        <v>240938.47000000003</v>
      </c>
      <c r="N72" s="173">
        <v>0</v>
      </c>
      <c r="O72" s="173"/>
      <c r="P72" s="173"/>
      <c r="Q72" s="173"/>
      <c r="R72" s="173">
        <v>0</v>
      </c>
      <c r="S72" s="173"/>
      <c r="T72" s="173">
        <v>64000</v>
      </c>
      <c r="U72" s="173"/>
      <c r="V72" s="173">
        <v>0</v>
      </c>
      <c r="W72" s="173"/>
      <c r="X72" s="173"/>
      <c r="Y72" s="173"/>
      <c r="Z72" s="173">
        <v>0</v>
      </c>
      <c r="AA72" s="201">
        <v>0</v>
      </c>
      <c r="AB72" s="173">
        <f>SUM(C72:AA72)</f>
        <v>304938.47000000003</v>
      </c>
      <c r="AD72" s="149"/>
      <c r="AE72" s="149"/>
    </row>
    <row r="73" spans="1:31" x14ac:dyDescent="0.25">
      <c r="A73" s="171" t="s">
        <v>151</v>
      </c>
      <c r="B73" s="164" t="s">
        <v>152</v>
      </c>
      <c r="C73" s="165">
        <v>585549.1</v>
      </c>
      <c r="D73" s="165">
        <v>3462067.89</v>
      </c>
      <c r="E73" s="165">
        <v>1071862.52</v>
      </c>
      <c r="F73" s="165">
        <v>851720.46000000008</v>
      </c>
      <c r="G73" s="165">
        <v>4353169.5999999996</v>
      </c>
      <c r="H73" s="165">
        <v>1142690.2</v>
      </c>
      <c r="I73" s="165">
        <v>151090.64000000001</v>
      </c>
      <c r="J73" s="165">
        <v>232000</v>
      </c>
      <c r="K73" s="165">
        <v>4516262.67</v>
      </c>
      <c r="L73" s="165">
        <v>211904.78</v>
      </c>
      <c r="M73" s="165">
        <v>1612929.23</v>
      </c>
      <c r="N73" s="165">
        <v>199378.65</v>
      </c>
      <c r="O73" s="165">
        <v>4196065.2300000004</v>
      </c>
      <c r="P73" s="165">
        <f>203092.79</f>
        <v>203092.79</v>
      </c>
      <c r="Q73" s="165">
        <v>331987.11</v>
      </c>
      <c r="R73" s="165">
        <v>64457.62</v>
      </c>
      <c r="S73" s="165">
        <v>1113701.02</v>
      </c>
      <c r="T73" s="165">
        <v>14231309.449999999</v>
      </c>
      <c r="U73" s="165">
        <v>2393550.9500000002</v>
      </c>
      <c r="V73" s="165">
        <v>3957914.46</v>
      </c>
      <c r="W73" s="165">
        <v>2393972.77</v>
      </c>
      <c r="X73" s="165">
        <v>331184.56</v>
      </c>
      <c r="Y73" s="165">
        <v>556725.44999999995</v>
      </c>
      <c r="Z73" s="165">
        <v>892250</v>
      </c>
      <c r="AA73" s="201">
        <v>100000</v>
      </c>
      <c r="AB73" s="165">
        <f>SUM(C73:AA73)</f>
        <v>49156837.150000006</v>
      </c>
      <c r="AD73" s="149"/>
      <c r="AE73" s="149"/>
    </row>
    <row r="74" spans="1:31" x14ac:dyDescent="0.25">
      <c r="A74" s="154" t="s">
        <v>153</v>
      </c>
      <c r="B74" s="155" t="s">
        <v>154</v>
      </c>
      <c r="C74" s="156">
        <f t="shared" ref="C74:E74" si="121">C75</f>
        <v>468225.24000000005</v>
      </c>
      <c r="D74" s="156">
        <f t="shared" si="121"/>
        <v>6862154.4000000004</v>
      </c>
      <c r="E74" s="156">
        <f t="shared" si="121"/>
        <v>173289.50000000003</v>
      </c>
      <c r="F74" s="156">
        <f t="shared" ref="F74:R74" si="122">F75</f>
        <v>1524242.87</v>
      </c>
      <c r="G74" s="156">
        <f t="shared" si="122"/>
        <v>11151787.17</v>
      </c>
      <c r="H74" s="156">
        <f t="shared" si="122"/>
        <v>184414.11000000002</v>
      </c>
      <c r="I74" s="156">
        <f t="shared" si="122"/>
        <v>411758.5</v>
      </c>
      <c r="J74" s="156">
        <f t="shared" si="122"/>
        <v>188383.69</v>
      </c>
      <c r="K74" s="156">
        <f t="shared" si="122"/>
        <v>5707013.9499999993</v>
      </c>
      <c r="L74" s="156">
        <f t="shared" si="122"/>
        <v>2907439.42</v>
      </c>
      <c r="M74" s="156">
        <f t="shared" si="122"/>
        <v>4655722.07</v>
      </c>
      <c r="N74" s="156">
        <f t="shared" si="122"/>
        <v>432336.25</v>
      </c>
      <c r="O74" s="156">
        <f t="shared" si="122"/>
        <v>4215539.1099999994</v>
      </c>
      <c r="P74" s="156">
        <f t="shared" si="122"/>
        <v>778604.55999999994</v>
      </c>
      <c r="Q74" s="156">
        <f t="shared" si="122"/>
        <v>1301496.5</v>
      </c>
      <c r="R74" s="156">
        <f t="shared" si="122"/>
        <v>66426.16</v>
      </c>
      <c r="S74" s="156">
        <f>S75</f>
        <v>5302039.1900000004</v>
      </c>
      <c r="T74" s="156">
        <f t="shared" ref="T74:V74" si="123">T75</f>
        <v>33592020.210000001</v>
      </c>
      <c r="U74" s="156">
        <f t="shared" si="123"/>
        <v>895843.85</v>
      </c>
      <c r="V74" s="156">
        <f t="shared" si="123"/>
        <v>7651094.830000001</v>
      </c>
      <c r="W74" s="156">
        <f t="shared" ref="W74:Y74" si="124">W75</f>
        <v>1110935.03</v>
      </c>
      <c r="X74" s="156">
        <f t="shared" si="124"/>
        <v>1025107.96</v>
      </c>
      <c r="Y74" s="157">
        <f t="shared" si="124"/>
        <v>359016.93000000005</v>
      </c>
      <c r="Z74" s="157">
        <v>522438.21</v>
      </c>
      <c r="AA74" s="208">
        <f>SUM(AA75)</f>
        <v>574490.36</v>
      </c>
      <c r="AB74" s="156">
        <f>AB75</f>
        <v>92061820.070000023</v>
      </c>
      <c r="AD74" s="149"/>
      <c r="AE74" s="149"/>
    </row>
    <row r="75" spans="1:31" x14ac:dyDescent="0.25">
      <c r="A75" s="159">
        <v>441</v>
      </c>
      <c r="B75" s="160" t="s">
        <v>154</v>
      </c>
      <c r="C75" s="161">
        <f t="shared" ref="C75:E75" si="125">SUM(C76:C82)</f>
        <v>468225.24000000005</v>
      </c>
      <c r="D75" s="161">
        <f t="shared" si="125"/>
        <v>6862154.4000000004</v>
      </c>
      <c r="E75" s="161">
        <f t="shared" si="125"/>
        <v>173289.50000000003</v>
      </c>
      <c r="F75" s="161">
        <f t="shared" ref="F75:Q75" si="126">SUM(F76:F82)</f>
        <v>1524242.87</v>
      </c>
      <c r="G75" s="161">
        <f>SUM(G77:G82)</f>
        <v>11151787.17</v>
      </c>
      <c r="H75" s="161">
        <f t="shared" si="126"/>
        <v>184414.11000000002</v>
      </c>
      <c r="I75" s="161">
        <f t="shared" ref="I75" si="127">SUM(I76:I82)</f>
        <v>411758.5</v>
      </c>
      <c r="J75" s="161">
        <f>SUM(J76:J82)</f>
        <v>188383.69</v>
      </c>
      <c r="K75" s="161">
        <f t="shared" ref="K75:L75" si="128">SUM(K76:K82)</f>
        <v>5707013.9499999993</v>
      </c>
      <c r="L75" s="161">
        <f t="shared" si="128"/>
        <v>2907439.42</v>
      </c>
      <c r="M75" s="161">
        <f t="shared" ref="M75" si="129">SUM(M76:M82)</f>
        <v>4655722.07</v>
      </c>
      <c r="N75" s="161">
        <f t="shared" ref="N75" si="130">SUM(N76:N82)</f>
        <v>432336.25</v>
      </c>
      <c r="O75" s="161">
        <f t="shared" si="126"/>
        <v>4215539.1099999994</v>
      </c>
      <c r="P75" s="161">
        <f t="shared" ref="P75" si="131">SUM(P76:P82)</f>
        <v>778604.55999999994</v>
      </c>
      <c r="Q75" s="161">
        <f t="shared" si="126"/>
        <v>1301496.5</v>
      </c>
      <c r="R75" s="161">
        <f t="shared" ref="R75" si="132">SUM(R76:R82)</f>
        <v>66426.16</v>
      </c>
      <c r="S75" s="161">
        <f>SUM(S76:S82)</f>
        <v>5302039.1900000004</v>
      </c>
      <c r="T75" s="161">
        <f t="shared" ref="T75:V75" si="133">SUM(T76:T82)</f>
        <v>33592020.210000001</v>
      </c>
      <c r="U75" s="161">
        <f t="shared" si="133"/>
        <v>895843.85</v>
      </c>
      <c r="V75" s="161">
        <f t="shared" si="133"/>
        <v>7651094.830000001</v>
      </c>
      <c r="W75" s="161">
        <f t="shared" ref="W75" si="134">SUM(W76:W82)</f>
        <v>1110935.03</v>
      </c>
      <c r="X75" s="161">
        <f t="shared" ref="X75" si="135">SUM(X76:X82)</f>
        <v>1025107.96</v>
      </c>
      <c r="Y75" s="161">
        <f>SUM(Y76:Y82)</f>
        <v>359016.93000000005</v>
      </c>
      <c r="Z75" s="161">
        <v>522438.21</v>
      </c>
      <c r="AA75" s="202">
        <f>SUM(AA76:AA82)</f>
        <v>574490.36</v>
      </c>
      <c r="AB75" s="161">
        <f>SUM(AB76:AB82)</f>
        <v>92061820.070000023</v>
      </c>
      <c r="AD75" s="149"/>
      <c r="AE75" s="149"/>
    </row>
    <row r="76" spans="1:31" x14ac:dyDescent="0.25">
      <c r="A76" s="163">
        <v>4411</v>
      </c>
      <c r="B76" s="183" t="s">
        <v>155</v>
      </c>
      <c r="C76" s="166"/>
      <c r="D76" s="166">
        <v>0</v>
      </c>
      <c r="E76" s="166">
        <v>0</v>
      </c>
      <c r="F76" s="166">
        <v>0</v>
      </c>
      <c r="G76" s="166"/>
      <c r="H76" s="166">
        <v>0</v>
      </c>
      <c r="I76" s="166"/>
      <c r="J76" s="166"/>
      <c r="K76" s="166">
        <v>753007.15</v>
      </c>
      <c r="L76" s="166">
        <v>0</v>
      </c>
      <c r="M76" s="166">
        <v>204538.55</v>
      </c>
      <c r="N76" s="166">
        <v>0</v>
      </c>
      <c r="O76" s="166">
        <v>0</v>
      </c>
      <c r="P76" s="166">
        <v>2178.25</v>
      </c>
      <c r="Q76" s="166">
        <v>0</v>
      </c>
      <c r="R76" s="166">
        <v>0</v>
      </c>
      <c r="S76" s="166">
        <v>0</v>
      </c>
      <c r="T76" s="166">
        <v>0</v>
      </c>
      <c r="U76" s="166">
        <v>0</v>
      </c>
      <c r="V76" s="166">
        <v>0</v>
      </c>
      <c r="W76" s="166">
        <v>0</v>
      </c>
      <c r="X76" s="166"/>
      <c r="Y76" s="166"/>
      <c r="Z76" s="166">
        <v>0</v>
      </c>
      <c r="AA76" s="201">
        <v>0</v>
      </c>
      <c r="AB76" s="166">
        <f t="shared" ref="AB76:AB82" si="136">SUM(C76:AA76)</f>
        <v>959723.95</v>
      </c>
      <c r="AD76" s="149"/>
      <c r="AE76" s="149"/>
    </row>
    <row r="77" spans="1:31" x14ac:dyDescent="0.25">
      <c r="A77" s="171" t="s">
        <v>156</v>
      </c>
      <c r="B77" s="164" t="s">
        <v>157</v>
      </c>
      <c r="C77" s="165">
        <v>84270.67</v>
      </c>
      <c r="D77" s="165">
        <v>3855060.76</v>
      </c>
      <c r="E77" s="165">
        <v>69922</v>
      </c>
      <c r="F77" s="165">
        <v>1142636.81</v>
      </c>
      <c r="G77" s="165">
        <f>8122094.09+275984.52</f>
        <v>8398078.6099999994</v>
      </c>
      <c r="H77" s="165">
        <v>9583.2000000000007</v>
      </c>
      <c r="I77" s="165">
        <v>351034.67</v>
      </c>
      <c r="J77" s="165">
        <v>126965.6</v>
      </c>
      <c r="K77" s="165">
        <v>3548437.11</v>
      </c>
      <c r="L77" s="165">
        <v>140623.22</v>
      </c>
      <c r="M77" s="165">
        <v>1052983.28</v>
      </c>
      <c r="N77" s="165">
        <v>112716.05</v>
      </c>
      <c r="O77" s="165">
        <v>1170779.25</v>
      </c>
      <c r="P77" s="165">
        <f>14036+91367.29+249371.64</f>
        <v>354774.93</v>
      </c>
      <c r="Q77" s="165">
        <v>976558.08000000007</v>
      </c>
      <c r="R77" s="165">
        <v>1624.3</v>
      </c>
      <c r="S77" s="165">
        <v>2677207.64</v>
      </c>
      <c r="T77" s="165">
        <v>27251070.809999999</v>
      </c>
      <c r="U77" s="165">
        <v>811981.37</v>
      </c>
      <c r="V77" s="165">
        <v>4175270.09</v>
      </c>
      <c r="W77" s="165">
        <v>829077.09</v>
      </c>
      <c r="X77" s="165">
        <v>319590.59000000003</v>
      </c>
      <c r="Y77" s="165">
        <v>63453.96</v>
      </c>
      <c r="Z77" s="165">
        <v>106614.31</v>
      </c>
      <c r="AA77" s="201">
        <v>492740.73</v>
      </c>
      <c r="AB77" s="165">
        <f t="shared" si="136"/>
        <v>58123055.13000001</v>
      </c>
      <c r="AD77" s="149"/>
      <c r="AE77" s="149"/>
    </row>
    <row r="78" spans="1:31" x14ac:dyDescent="0.25">
      <c r="A78" s="171" t="s">
        <v>158</v>
      </c>
      <c r="B78" s="164" t="s">
        <v>159</v>
      </c>
      <c r="C78" s="165">
        <v>308945.96000000002</v>
      </c>
      <c r="D78" s="165">
        <v>442416.36</v>
      </c>
      <c r="E78" s="165">
        <v>9438</v>
      </c>
      <c r="F78" s="165">
        <v>0</v>
      </c>
      <c r="G78" s="165">
        <v>632230.02</v>
      </c>
      <c r="H78" s="165">
        <v>0</v>
      </c>
      <c r="I78" s="165"/>
      <c r="J78" s="165"/>
      <c r="K78" s="165">
        <v>597595.42000000004</v>
      </c>
      <c r="L78" s="165">
        <v>41334.870000000003</v>
      </c>
      <c r="M78" s="165">
        <v>184733.26</v>
      </c>
      <c r="N78" s="165">
        <v>12531.15</v>
      </c>
      <c r="O78" s="165">
        <v>339783.26</v>
      </c>
      <c r="P78" s="165"/>
      <c r="Q78" s="165">
        <v>0</v>
      </c>
      <c r="R78" s="165">
        <v>0</v>
      </c>
      <c r="S78" s="165">
        <v>46000</v>
      </c>
      <c r="T78" s="165">
        <v>707847.41</v>
      </c>
      <c r="U78" s="165"/>
      <c r="V78" s="165">
        <v>0</v>
      </c>
      <c r="W78" s="165">
        <v>0</v>
      </c>
      <c r="X78" s="165">
        <v>5777.73</v>
      </c>
      <c r="Y78" s="165"/>
      <c r="Z78" s="165">
        <v>0</v>
      </c>
      <c r="AA78" s="201">
        <v>0</v>
      </c>
      <c r="AB78" s="165">
        <f t="shared" si="136"/>
        <v>3328633.4400000009</v>
      </c>
      <c r="AD78" s="149"/>
      <c r="AE78" s="149"/>
    </row>
    <row r="79" spans="1:31" x14ac:dyDescent="0.25">
      <c r="A79" s="171" t="s">
        <v>160</v>
      </c>
      <c r="B79" s="164" t="s">
        <v>161</v>
      </c>
      <c r="C79" s="166"/>
      <c r="D79" s="166">
        <v>764475.94</v>
      </c>
      <c r="E79" s="166">
        <v>0</v>
      </c>
      <c r="F79" s="166">
        <v>0</v>
      </c>
      <c r="G79" s="166"/>
      <c r="H79" s="166">
        <v>0</v>
      </c>
      <c r="I79" s="166"/>
      <c r="J79" s="166"/>
      <c r="K79" s="166">
        <v>0</v>
      </c>
      <c r="L79" s="166">
        <v>0</v>
      </c>
      <c r="M79" s="166">
        <v>40125</v>
      </c>
      <c r="N79" s="166">
        <v>66548.789999999994</v>
      </c>
      <c r="O79" s="166">
        <v>89069.07</v>
      </c>
      <c r="P79" s="166"/>
      <c r="Q79" s="166">
        <v>0</v>
      </c>
      <c r="R79" s="166">
        <v>0</v>
      </c>
      <c r="S79" s="166">
        <v>271917.96000000002</v>
      </c>
      <c r="T79" s="166">
        <v>0</v>
      </c>
      <c r="U79" s="166"/>
      <c r="V79" s="166">
        <v>2507467.7200000002</v>
      </c>
      <c r="W79" s="166">
        <v>0</v>
      </c>
      <c r="X79" s="166">
        <v>167338.07999999999</v>
      </c>
      <c r="Y79" s="166"/>
      <c r="Z79" s="166">
        <v>0</v>
      </c>
      <c r="AA79" s="201">
        <v>0</v>
      </c>
      <c r="AB79" s="166">
        <f t="shared" si="136"/>
        <v>3906942.5600000005</v>
      </c>
      <c r="AD79" s="149"/>
      <c r="AE79" s="149"/>
    </row>
    <row r="80" spans="1:31" x14ac:dyDescent="0.25">
      <c r="A80" s="171" t="s">
        <v>162</v>
      </c>
      <c r="B80" s="164" t="s">
        <v>163</v>
      </c>
      <c r="C80" s="165">
        <v>47027.21</v>
      </c>
      <c r="D80" s="165">
        <v>784741.47</v>
      </c>
      <c r="E80" s="165">
        <v>80080.33</v>
      </c>
      <c r="F80" s="165">
        <v>61059.26</v>
      </c>
      <c r="G80" s="165">
        <v>1571201.06</v>
      </c>
      <c r="H80" s="165">
        <v>29587.32</v>
      </c>
      <c r="I80" s="165">
        <v>48820.26</v>
      </c>
      <c r="J80" s="165">
        <v>10869.76</v>
      </c>
      <c r="K80" s="165">
        <v>296047.33</v>
      </c>
      <c r="L80" s="165">
        <v>375343.12</v>
      </c>
      <c r="M80" s="165">
        <v>504361.14999999997</v>
      </c>
      <c r="N80" s="165">
        <v>38549.040000000001</v>
      </c>
      <c r="O80" s="165">
        <v>211756.44</v>
      </c>
      <c r="P80" s="165">
        <v>2654.36</v>
      </c>
      <c r="Q80" s="165">
        <v>253976.21000000002</v>
      </c>
      <c r="R80" s="165">
        <v>523.49</v>
      </c>
      <c r="S80" s="165">
        <v>684072.01</v>
      </c>
      <c r="T80" s="166">
        <v>3505279.39</v>
      </c>
      <c r="U80" s="165">
        <v>50155.64</v>
      </c>
      <c r="V80" s="165">
        <v>49680.53</v>
      </c>
      <c r="W80" s="165">
        <v>272275.01</v>
      </c>
      <c r="X80" s="165">
        <v>420148.87</v>
      </c>
      <c r="Y80" s="165">
        <v>261801.64</v>
      </c>
      <c r="Z80" s="165">
        <v>7006.87</v>
      </c>
      <c r="AA80" s="201">
        <v>37833.089999999997</v>
      </c>
      <c r="AB80" s="165">
        <f t="shared" si="136"/>
        <v>9604850.8599999975</v>
      </c>
      <c r="AD80" s="149"/>
      <c r="AE80" s="149"/>
    </row>
    <row r="81" spans="1:31" x14ac:dyDescent="0.25">
      <c r="A81" s="171" t="s">
        <v>164</v>
      </c>
      <c r="B81" s="164" t="s">
        <v>165</v>
      </c>
      <c r="C81" s="166"/>
      <c r="D81" s="166">
        <v>910264.89</v>
      </c>
      <c r="E81" s="166">
        <v>0</v>
      </c>
      <c r="F81" s="166">
        <v>10915.85</v>
      </c>
      <c r="G81" s="166">
        <v>381801.1</v>
      </c>
      <c r="H81" s="166">
        <v>126238.89</v>
      </c>
      <c r="I81" s="166">
        <v>11903.57</v>
      </c>
      <c r="J81" s="166"/>
      <c r="K81" s="166">
        <v>172382.47</v>
      </c>
      <c r="L81" s="166">
        <v>716025.38</v>
      </c>
      <c r="M81" s="166">
        <v>1109588.05</v>
      </c>
      <c r="N81" s="166">
        <v>4118.7299999999996</v>
      </c>
      <c r="O81" s="166">
        <v>2404151.09</v>
      </c>
      <c r="P81" s="166">
        <f>23684.99+4495+2659.58+4512.82+2481+375533.31+4012.97</f>
        <v>417379.67</v>
      </c>
      <c r="Q81" s="166">
        <v>70962.210000000006</v>
      </c>
      <c r="R81" s="166">
        <v>36921.919999999998</v>
      </c>
      <c r="S81" s="166">
        <v>1595178.83</v>
      </c>
      <c r="T81" s="165">
        <v>2127822.6</v>
      </c>
      <c r="U81" s="166"/>
      <c r="V81" s="166">
        <v>150982.67000000001</v>
      </c>
      <c r="W81" s="166">
        <v>0</v>
      </c>
      <c r="X81" s="166">
        <v>46200.22</v>
      </c>
      <c r="Y81" s="166">
        <v>12014.63</v>
      </c>
      <c r="Z81" s="166">
        <v>312525.03000000003</v>
      </c>
      <c r="AA81" s="201">
        <v>43916.54</v>
      </c>
      <c r="AB81" s="166">
        <f t="shared" si="136"/>
        <v>10661294.34</v>
      </c>
      <c r="AD81" s="149"/>
      <c r="AE81" s="149"/>
    </row>
    <row r="82" spans="1:31" x14ac:dyDescent="0.25">
      <c r="A82" s="171" t="s">
        <v>166</v>
      </c>
      <c r="B82" s="164" t="s">
        <v>167</v>
      </c>
      <c r="C82" s="165">
        <v>27981.4</v>
      </c>
      <c r="D82" s="165">
        <v>105194.98</v>
      </c>
      <c r="E82" s="165">
        <v>13849.17</v>
      </c>
      <c r="F82" s="165">
        <v>309630.95</v>
      </c>
      <c r="G82" s="165">
        <v>168476.38</v>
      </c>
      <c r="H82" s="165">
        <v>19004.7</v>
      </c>
      <c r="I82" s="165">
        <v>0</v>
      </c>
      <c r="J82" s="165">
        <v>50548.33</v>
      </c>
      <c r="K82" s="165">
        <v>339544.47</v>
      </c>
      <c r="L82" s="165">
        <v>1634112.83</v>
      </c>
      <c r="M82" s="165">
        <v>1559392.78</v>
      </c>
      <c r="N82" s="165">
        <v>197872.49</v>
      </c>
      <c r="O82" s="165">
        <v>0</v>
      </c>
      <c r="P82" s="165">
        <f>62.13+1555.22</f>
        <v>1617.3500000000001</v>
      </c>
      <c r="Q82" s="165">
        <v>0</v>
      </c>
      <c r="R82" s="165">
        <v>27356.45</v>
      </c>
      <c r="S82" s="165">
        <v>27662.75</v>
      </c>
      <c r="T82" s="165">
        <v>0</v>
      </c>
      <c r="U82" s="165">
        <v>33706.839999999997</v>
      </c>
      <c r="V82" s="165">
        <v>767693.82</v>
      </c>
      <c r="W82" s="165">
        <v>9582.93</v>
      </c>
      <c r="X82" s="165">
        <v>66052.47</v>
      </c>
      <c r="Y82" s="165">
        <v>21746.7</v>
      </c>
      <c r="Z82" s="165">
        <v>96292</v>
      </c>
      <c r="AA82" s="201">
        <v>0</v>
      </c>
      <c r="AB82" s="165">
        <f t="shared" si="136"/>
        <v>5477319.79</v>
      </c>
      <c r="AD82" s="149"/>
      <c r="AE82" s="149"/>
    </row>
    <row r="83" spans="1:31" x14ac:dyDescent="0.25">
      <c r="A83" s="154" t="s">
        <v>168</v>
      </c>
      <c r="B83" s="155" t="s">
        <v>169</v>
      </c>
      <c r="C83" s="156">
        <f t="shared" ref="C83:E83" si="137">+C84</f>
        <v>0</v>
      </c>
      <c r="D83" s="156">
        <f t="shared" si="137"/>
        <v>0</v>
      </c>
      <c r="E83" s="156">
        <f t="shared" si="137"/>
        <v>0</v>
      </c>
      <c r="F83" s="156">
        <f t="shared" ref="F83:R83" si="138">+F84</f>
        <v>0</v>
      </c>
      <c r="G83" s="156">
        <f t="shared" si="138"/>
        <v>5033.6000000000004</v>
      </c>
      <c r="H83" s="156">
        <f t="shared" si="138"/>
        <v>40000</v>
      </c>
      <c r="I83" s="156">
        <f t="shared" si="138"/>
        <v>0</v>
      </c>
      <c r="J83" s="156">
        <f t="shared" si="138"/>
        <v>0</v>
      </c>
      <c r="K83" s="156">
        <f t="shared" ref="K83:L83" si="139">+K84</f>
        <v>0</v>
      </c>
      <c r="L83" s="156">
        <f t="shared" si="139"/>
        <v>0</v>
      </c>
      <c r="M83" s="156">
        <f t="shared" ref="M83:N83" si="140">+M84</f>
        <v>0</v>
      </c>
      <c r="N83" s="156">
        <f t="shared" si="140"/>
        <v>0</v>
      </c>
      <c r="O83" s="156">
        <f t="shared" si="138"/>
        <v>0</v>
      </c>
      <c r="P83" s="156">
        <f t="shared" si="138"/>
        <v>550</v>
      </c>
      <c r="Q83" s="156">
        <f t="shared" si="138"/>
        <v>0</v>
      </c>
      <c r="R83" s="156">
        <f t="shared" si="138"/>
        <v>0</v>
      </c>
      <c r="S83" s="156">
        <f>+S84</f>
        <v>0</v>
      </c>
      <c r="T83" s="156">
        <f t="shared" ref="T83:V83" si="141">+T84</f>
        <v>0</v>
      </c>
      <c r="U83" s="156">
        <f t="shared" si="141"/>
        <v>0</v>
      </c>
      <c r="V83" s="156">
        <f t="shared" si="141"/>
        <v>0</v>
      </c>
      <c r="W83" s="156">
        <f t="shared" ref="W83:Y83" si="142">+W84</f>
        <v>50000</v>
      </c>
      <c r="X83" s="156">
        <f t="shared" si="142"/>
        <v>0</v>
      </c>
      <c r="Y83" s="157">
        <f t="shared" si="142"/>
        <v>0</v>
      </c>
      <c r="Z83" s="157">
        <v>0</v>
      </c>
      <c r="AA83" s="208">
        <f>SUM(AA84)</f>
        <v>0</v>
      </c>
      <c r="AB83" s="156">
        <f>+AB84</f>
        <v>95583.6</v>
      </c>
      <c r="AD83" s="149"/>
      <c r="AE83" s="149"/>
    </row>
    <row r="84" spans="1:31" x14ac:dyDescent="0.25">
      <c r="A84" s="159">
        <v>451</v>
      </c>
      <c r="B84" s="160" t="s">
        <v>169</v>
      </c>
      <c r="C84" s="161">
        <f t="shared" ref="C84:E84" si="143">SUM(C85:C88)</f>
        <v>0</v>
      </c>
      <c r="D84" s="161">
        <f t="shared" si="143"/>
        <v>0</v>
      </c>
      <c r="E84" s="161">
        <f t="shared" si="143"/>
        <v>0</v>
      </c>
      <c r="F84" s="161">
        <f t="shared" ref="F84:Q84" si="144">SUM(F85:F88)</f>
        <v>0</v>
      </c>
      <c r="G84" s="161">
        <f t="shared" ref="G84" si="145">SUM(G85:G88)</f>
        <v>5033.6000000000004</v>
      </c>
      <c r="H84" s="161">
        <f t="shared" si="144"/>
        <v>40000</v>
      </c>
      <c r="I84" s="161">
        <f t="shared" ref="I84:J84" si="146">SUM(I85:I88)</f>
        <v>0</v>
      </c>
      <c r="J84" s="161">
        <f t="shared" si="146"/>
        <v>0</v>
      </c>
      <c r="K84" s="161">
        <f t="shared" ref="K84:L84" si="147">SUM(K85:K88)</f>
        <v>0</v>
      </c>
      <c r="L84" s="161">
        <f t="shared" si="147"/>
        <v>0</v>
      </c>
      <c r="M84" s="161">
        <f t="shared" ref="M84" si="148">SUM(M85:M88)</f>
        <v>0</v>
      </c>
      <c r="N84" s="161">
        <f t="shared" ref="N84" si="149">SUM(N85:N88)</f>
        <v>0</v>
      </c>
      <c r="O84" s="161">
        <f t="shared" si="144"/>
        <v>0</v>
      </c>
      <c r="P84" s="161">
        <f t="shared" ref="P84" si="150">SUM(P85:P88)</f>
        <v>550</v>
      </c>
      <c r="Q84" s="161">
        <f t="shared" si="144"/>
        <v>0</v>
      </c>
      <c r="R84" s="161">
        <f t="shared" ref="R84" si="151">SUM(R85:R88)</f>
        <v>0</v>
      </c>
      <c r="S84" s="161">
        <f>SUM(S85:S88)</f>
        <v>0</v>
      </c>
      <c r="T84" s="161">
        <f t="shared" ref="T84:V84" si="152">SUM(T85:T88)</f>
        <v>0</v>
      </c>
      <c r="U84" s="161">
        <f t="shared" si="152"/>
        <v>0</v>
      </c>
      <c r="V84" s="161">
        <f t="shared" si="152"/>
        <v>0</v>
      </c>
      <c r="W84" s="161">
        <f t="shared" ref="W84" si="153">SUM(W85:W88)</f>
        <v>50000</v>
      </c>
      <c r="X84" s="161">
        <f t="shared" ref="X84" si="154">SUM(X85:X88)</f>
        <v>0</v>
      </c>
      <c r="Y84" s="161">
        <f t="shared" ref="Y84" si="155">SUM(Y85:Y88)</f>
        <v>0</v>
      </c>
      <c r="Z84" s="161">
        <v>0</v>
      </c>
      <c r="AA84" s="202">
        <f>SUM(AA85:AA88)</f>
        <v>0</v>
      </c>
      <c r="AB84" s="161">
        <f>SUM(AB85:AB88)</f>
        <v>95583.6</v>
      </c>
      <c r="AD84" s="149"/>
      <c r="AE84" s="149"/>
    </row>
    <row r="85" spans="1:31" x14ac:dyDescent="0.25">
      <c r="A85" s="171" t="s">
        <v>170</v>
      </c>
      <c r="B85" s="164" t="s">
        <v>171</v>
      </c>
      <c r="C85" s="173"/>
      <c r="D85" s="173">
        <v>0</v>
      </c>
      <c r="E85" s="173">
        <v>0</v>
      </c>
      <c r="F85" s="173"/>
      <c r="G85" s="173">
        <v>5033.6000000000004</v>
      </c>
      <c r="H85" s="173"/>
      <c r="I85" s="173"/>
      <c r="J85" s="173"/>
      <c r="K85" s="173">
        <v>0</v>
      </c>
      <c r="L85" s="173">
        <v>0</v>
      </c>
      <c r="M85" s="173"/>
      <c r="N85" s="173">
        <v>0</v>
      </c>
      <c r="O85" s="173"/>
      <c r="P85" s="173">
        <v>550</v>
      </c>
      <c r="Q85" s="173"/>
      <c r="R85" s="173">
        <v>0</v>
      </c>
      <c r="S85" s="173">
        <v>0</v>
      </c>
      <c r="T85" s="173">
        <v>0</v>
      </c>
      <c r="U85" s="173"/>
      <c r="V85" s="173">
        <v>0</v>
      </c>
      <c r="W85" s="173">
        <v>50000</v>
      </c>
      <c r="X85" s="173"/>
      <c r="Y85" s="173"/>
      <c r="Z85" s="173">
        <v>0</v>
      </c>
      <c r="AA85" s="201">
        <v>0</v>
      </c>
      <c r="AB85" s="173">
        <f>SUM(C85:AA85)</f>
        <v>55583.6</v>
      </c>
      <c r="AD85" s="149"/>
      <c r="AE85" s="149"/>
    </row>
    <row r="86" spans="1:31" x14ac:dyDescent="0.25">
      <c r="A86" s="171" t="s">
        <v>172</v>
      </c>
      <c r="B86" s="164" t="s">
        <v>173</v>
      </c>
      <c r="C86" s="173"/>
      <c r="D86" s="173">
        <v>0</v>
      </c>
      <c r="E86" s="173">
        <v>0</v>
      </c>
      <c r="F86" s="173"/>
      <c r="G86" s="173"/>
      <c r="H86" s="173"/>
      <c r="I86" s="173"/>
      <c r="J86" s="173"/>
      <c r="K86" s="173">
        <v>0</v>
      </c>
      <c r="L86" s="173">
        <v>0</v>
      </c>
      <c r="M86" s="173"/>
      <c r="N86" s="173">
        <v>0</v>
      </c>
      <c r="O86" s="173"/>
      <c r="P86" s="173"/>
      <c r="Q86" s="173"/>
      <c r="R86" s="173">
        <v>0</v>
      </c>
      <c r="S86" s="173">
        <v>0</v>
      </c>
      <c r="T86" s="173">
        <v>0</v>
      </c>
      <c r="U86" s="173"/>
      <c r="V86" s="173">
        <v>0</v>
      </c>
      <c r="W86" s="173"/>
      <c r="X86" s="173"/>
      <c r="Y86" s="173"/>
      <c r="Z86" s="173">
        <v>0</v>
      </c>
      <c r="AA86" s="201">
        <v>0</v>
      </c>
      <c r="AB86" s="173">
        <f>SUM(C86:AA86)</f>
        <v>0</v>
      </c>
      <c r="AD86" s="149"/>
      <c r="AE86" s="149"/>
    </row>
    <row r="87" spans="1:31" x14ac:dyDescent="0.25">
      <c r="A87" s="171" t="s">
        <v>174</v>
      </c>
      <c r="B87" s="164" t="s">
        <v>175</v>
      </c>
      <c r="C87" s="173"/>
      <c r="D87" s="173">
        <v>0</v>
      </c>
      <c r="E87" s="173">
        <v>0</v>
      </c>
      <c r="F87" s="173"/>
      <c r="G87" s="173"/>
      <c r="H87" s="173"/>
      <c r="I87" s="173"/>
      <c r="J87" s="173"/>
      <c r="K87" s="173">
        <v>0</v>
      </c>
      <c r="L87" s="173">
        <v>0</v>
      </c>
      <c r="M87" s="173"/>
      <c r="N87" s="173">
        <v>0</v>
      </c>
      <c r="O87" s="173"/>
      <c r="P87" s="173"/>
      <c r="Q87" s="173"/>
      <c r="R87" s="173">
        <v>0</v>
      </c>
      <c r="S87" s="173">
        <v>0</v>
      </c>
      <c r="T87" s="173">
        <v>0</v>
      </c>
      <c r="U87" s="173"/>
      <c r="V87" s="173">
        <v>0</v>
      </c>
      <c r="W87" s="173"/>
      <c r="X87" s="173"/>
      <c r="Y87" s="173"/>
      <c r="Z87" s="173">
        <v>0</v>
      </c>
      <c r="AA87" s="201">
        <v>0</v>
      </c>
      <c r="AB87" s="173">
        <f>SUM(C87:AA87)</f>
        <v>0</v>
      </c>
      <c r="AD87" s="149"/>
      <c r="AE87" s="149"/>
    </row>
    <row r="88" spans="1:31" x14ac:dyDescent="0.25">
      <c r="A88" s="171" t="s">
        <v>176</v>
      </c>
      <c r="B88" s="164" t="s">
        <v>177</v>
      </c>
      <c r="C88" s="173"/>
      <c r="D88" s="173">
        <v>0</v>
      </c>
      <c r="E88" s="173">
        <v>0</v>
      </c>
      <c r="F88" s="173"/>
      <c r="G88" s="173"/>
      <c r="H88" s="173">
        <v>40000</v>
      </c>
      <c r="I88" s="173"/>
      <c r="J88" s="173"/>
      <c r="K88" s="173">
        <v>0</v>
      </c>
      <c r="L88" s="173">
        <v>0</v>
      </c>
      <c r="M88" s="173"/>
      <c r="N88" s="173">
        <v>0</v>
      </c>
      <c r="O88" s="173"/>
      <c r="P88" s="173"/>
      <c r="Q88" s="173"/>
      <c r="R88" s="173">
        <v>0</v>
      </c>
      <c r="S88" s="173">
        <v>0</v>
      </c>
      <c r="T88" s="173">
        <v>0</v>
      </c>
      <c r="U88" s="173"/>
      <c r="V88" s="173">
        <v>0</v>
      </c>
      <c r="W88" s="173"/>
      <c r="X88" s="173"/>
      <c r="Y88" s="173"/>
      <c r="Z88" s="173">
        <v>0</v>
      </c>
      <c r="AA88" s="201">
        <v>0</v>
      </c>
      <c r="AB88" s="173">
        <f>SUM(C88:Z88)</f>
        <v>40000</v>
      </c>
      <c r="AD88" s="149"/>
      <c r="AE88" s="149"/>
    </row>
    <row r="89" spans="1:31" x14ac:dyDescent="0.25">
      <c r="A89" s="154" t="s">
        <v>178</v>
      </c>
      <c r="B89" s="155" t="s">
        <v>179</v>
      </c>
      <c r="C89" s="156">
        <f t="shared" ref="C89:E89" si="156">+C90+C93+C96</f>
        <v>83376.75</v>
      </c>
      <c r="D89" s="156">
        <f t="shared" si="156"/>
        <v>2350033.4300000002</v>
      </c>
      <c r="E89" s="156">
        <f t="shared" si="156"/>
        <v>606565.81999999995</v>
      </c>
      <c r="F89" s="156">
        <f t="shared" ref="F89:R89" si="157">+F90+F93+F96</f>
        <v>3289770.5300000003</v>
      </c>
      <c r="G89" s="156">
        <f t="shared" si="157"/>
        <v>2420983.19</v>
      </c>
      <c r="H89" s="156">
        <f t="shared" si="157"/>
        <v>2505816.92</v>
      </c>
      <c r="I89" s="156">
        <f t="shared" si="157"/>
        <v>2154447.25</v>
      </c>
      <c r="J89" s="156">
        <f t="shared" si="157"/>
        <v>77254.12</v>
      </c>
      <c r="K89" s="156">
        <f t="shared" si="157"/>
        <v>2583196.33</v>
      </c>
      <c r="L89" s="156">
        <f t="shared" si="157"/>
        <v>585008.48</v>
      </c>
      <c r="M89" s="156">
        <f t="shared" si="157"/>
        <v>748671.36</v>
      </c>
      <c r="N89" s="156">
        <f t="shared" si="157"/>
        <v>129039.44</v>
      </c>
      <c r="O89" s="156">
        <f t="shared" si="157"/>
        <v>3016057.74</v>
      </c>
      <c r="P89" s="156">
        <f t="shared" si="157"/>
        <v>20059.13</v>
      </c>
      <c r="Q89" s="156">
        <f t="shared" si="157"/>
        <v>375388.35</v>
      </c>
      <c r="R89" s="156">
        <f t="shared" si="157"/>
        <v>4541.8599999999997</v>
      </c>
      <c r="S89" s="156">
        <f>+S90+S93+S96</f>
        <v>1662790.4300000002</v>
      </c>
      <c r="T89" s="156">
        <f>+T90+T93+T96</f>
        <v>2936564.4000000004</v>
      </c>
      <c r="U89" s="156">
        <f t="shared" ref="U89:V89" si="158">+U90+U93+U96</f>
        <v>1954463.7200000002</v>
      </c>
      <c r="V89" s="156">
        <f t="shared" si="158"/>
        <v>1205815.3600000001</v>
      </c>
      <c r="W89" s="156">
        <f t="shared" ref="W89:Y89" si="159">+W90+W93+W96</f>
        <v>2725161.66</v>
      </c>
      <c r="X89" s="156">
        <f t="shared" si="159"/>
        <v>77096.509999999995</v>
      </c>
      <c r="Y89" s="157">
        <f t="shared" si="159"/>
        <v>28591.019999999997</v>
      </c>
      <c r="Z89" s="157">
        <v>407750.04</v>
      </c>
      <c r="AA89" s="208">
        <f>SUM(AA90+AA93+AA96)</f>
        <v>0</v>
      </c>
      <c r="AB89" s="156">
        <f>+AB90+AB93+AB96</f>
        <v>31948443.84</v>
      </c>
      <c r="AD89" s="149"/>
      <c r="AE89" s="149"/>
    </row>
    <row r="90" spans="1:31" x14ac:dyDescent="0.25">
      <c r="A90" s="209">
        <v>461</v>
      </c>
      <c r="B90" s="160" t="s">
        <v>180</v>
      </c>
      <c r="C90" s="161">
        <f t="shared" ref="C90:E90" si="160">SUM(C91:C92)</f>
        <v>46229.25</v>
      </c>
      <c r="D90" s="161">
        <f t="shared" si="160"/>
        <v>1418341.6</v>
      </c>
      <c r="E90" s="161">
        <f t="shared" si="160"/>
        <v>62649</v>
      </c>
      <c r="F90" s="161">
        <f t="shared" ref="F90:Q90" si="161">SUM(F91:F92)</f>
        <v>801266.5900000002</v>
      </c>
      <c r="G90" s="161">
        <f t="shared" ref="G90" si="162">SUM(G91:G92)</f>
        <v>0</v>
      </c>
      <c r="H90" s="161">
        <f t="shared" si="161"/>
        <v>1052797.75</v>
      </c>
      <c r="I90" s="161">
        <f t="shared" ref="I90" si="163">SUM(I91:I92)</f>
        <v>761112.19</v>
      </c>
      <c r="J90" s="161">
        <f t="shared" si="161"/>
        <v>10000</v>
      </c>
      <c r="K90" s="161">
        <f t="shared" ref="K90:L90" si="164">SUM(K91:K92)</f>
        <v>1392916.65</v>
      </c>
      <c r="L90" s="161">
        <f t="shared" si="164"/>
        <v>349950.86</v>
      </c>
      <c r="M90" s="161">
        <f t="shared" ref="M90" si="165">SUM(M91:M92)</f>
        <v>165485.62</v>
      </c>
      <c r="N90" s="161">
        <f t="shared" ref="N90" si="166">SUM(N91:N92)</f>
        <v>0</v>
      </c>
      <c r="O90" s="161">
        <f t="shared" si="161"/>
        <v>1039079.19</v>
      </c>
      <c r="P90" s="161">
        <f t="shared" ref="P90" si="167">SUM(P91:P92)</f>
        <v>0</v>
      </c>
      <c r="Q90" s="161">
        <f t="shared" si="161"/>
        <v>114952.09</v>
      </c>
      <c r="R90" s="161">
        <f t="shared" ref="R90" si="168">SUM(R91:R92)</f>
        <v>0</v>
      </c>
      <c r="S90" s="161">
        <f>SUM(S91:S92)</f>
        <v>155052.01999999999</v>
      </c>
      <c r="T90" s="161">
        <f t="shared" ref="T90" si="169">SUM(T91:T92)</f>
        <v>1899887.3900000001</v>
      </c>
      <c r="U90" s="161">
        <f t="shared" ref="U90:V90" si="170">SUM(U91:U92)</f>
        <v>527584.85</v>
      </c>
      <c r="V90" s="161">
        <f t="shared" si="170"/>
        <v>1112783.6200000001</v>
      </c>
      <c r="W90" s="161">
        <f t="shared" ref="W90" si="171">SUM(W91:W92)</f>
        <v>839792.77</v>
      </c>
      <c r="X90" s="161">
        <f t="shared" ref="X90" si="172">SUM(X91:X92)</f>
        <v>0</v>
      </c>
      <c r="Y90" s="161">
        <f t="shared" ref="Y90" si="173">SUM(Y91:Y92)</f>
        <v>0</v>
      </c>
      <c r="Z90" s="161">
        <v>407750.04</v>
      </c>
      <c r="AA90" s="202">
        <f>SUM(AA91:AA92)</f>
        <v>0</v>
      </c>
      <c r="AB90" s="161">
        <f>SUM(AB91:AB92)</f>
        <v>12157631.48</v>
      </c>
      <c r="AD90" s="149"/>
      <c r="AE90" s="149"/>
    </row>
    <row r="91" spans="1:31" x14ac:dyDescent="0.25">
      <c r="A91" s="171" t="s">
        <v>181</v>
      </c>
      <c r="B91" s="164" t="s">
        <v>182</v>
      </c>
      <c r="C91" s="165">
        <v>46229.25</v>
      </c>
      <c r="D91" s="165">
        <v>1418341.6</v>
      </c>
      <c r="E91" s="165">
        <v>62649</v>
      </c>
      <c r="F91" s="165">
        <v>801266.5900000002</v>
      </c>
      <c r="G91" s="165"/>
      <c r="H91" s="165">
        <v>1052797.75</v>
      </c>
      <c r="I91" s="165">
        <v>761112.19</v>
      </c>
      <c r="J91" s="165">
        <v>10000</v>
      </c>
      <c r="K91" s="165">
        <v>1392916.65</v>
      </c>
      <c r="L91" s="165">
        <v>349950.86</v>
      </c>
      <c r="M91" s="165">
        <v>165485.62</v>
      </c>
      <c r="N91" s="165">
        <v>0</v>
      </c>
      <c r="O91" s="165">
        <v>394563.87</v>
      </c>
      <c r="P91" s="165"/>
      <c r="Q91" s="165">
        <v>114952.09</v>
      </c>
      <c r="R91" s="165"/>
      <c r="S91" s="165"/>
      <c r="T91" s="165">
        <v>1365760.29</v>
      </c>
      <c r="U91" s="165">
        <v>527584.85</v>
      </c>
      <c r="V91" s="165">
        <v>1112783.6200000001</v>
      </c>
      <c r="W91" s="165">
        <v>432338.07</v>
      </c>
      <c r="X91" s="165"/>
      <c r="Y91" s="165"/>
      <c r="Z91" s="165">
        <v>407750.04</v>
      </c>
      <c r="AA91" s="201">
        <v>0</v>
      </c>
      <c r="AB91" s="165">
        <f>SUM(C91:AA91)</f>
        <v>10416482.34</v>
      </c>
      <c r="AD91" s="149"/>
      <c r="AE91" s="149"/>
    </row>
    <row r="92" spans="1:31" x14ac:dyDescent="0.25">
      <c r="A92" s="171" t="s">
        <v>183</v>
      </c>
      <c r="B92" s="164" t="s">
        <v>184</v>
      </c>
      <c r="C92" s="173"/>
      <c r="D92" s="173">
        <v>0</v>
      </c>
      <c r="E92" s="173">
        <v>0</v>
      </c>
      <c r="F92" s="173"/>
      <c r="G92" s="173"/>
      <c r="H92" s="173"/>
      <c r="I92" s="173"/>
      <c r="J92" s="173"/>
      <c r="K92" s="173">
        <v>0</v>
      </c>
      <c r="L92" s="173">
        <v>0</v>
      </c>
      <c r="M92" s="173"/>
      <c r="N92" s="173">
        <v>0</v>
      </c>
      <c r="O92" s="173">
        <v>644515.31999999995</v>
      </c>
      <c r="P92" s="173"/>
      <c r="Q92" s="173"/>
      <c r="R92" s="173">
        <v>0</v>
      </c>
      <c r="S92" s="173">
        <v>155052.01999999999</v>
      </c>
      <c r="T92" s="173">
        <v>534127.1</v>
      </c>
      <c r="U92" s="173"/>
      <c r="V92" s="173">
        <v>0</v>
      </c>
      <c r="W92" s="173">
        <v>407454.7</v>
      </c>
      <c r="X92" s="173"/>
      <c r="Y92" s="173"/>
      <c r="Z92" s="173">
        <v>0</v>
      </c>
      <c r="AA92" s="201">
        <v>0</v>
      </c>
      <c r="AB92" s="173">
        <f>SUM(C92:AA92)</f>
        <v>1741149.14</v>
      </c>
      <c r="AD92" s="149"/>
      <c r="AE92" s="149"/>
    </row>
    <row r="93" spans="1:31" x14ac:dyDescent="0.25">
      <c r="A93" s="209">
        <v>462</v>
      </c>
      <c r="B93" s="160" t="s">
        <v>185</v>
      </c>
      <c r="C93" s="161">
        <f t="shared" ref="C93:E93" si="174">SUM(C94:C95)</f>
        <v>0</v>
      </c>
      <c r="D93" s="161">
        <f t="shared" si="174"/>
        <v>0</v>
      </c>
      <c r="E93" s="161">
        <f t="shared" si="174"/>
        <v>0</v>
      </c>
      <c r="F93" s="161">
        <f t="shared" ref="F93:W93" si="175">SUM(F94:F95)</f>
        <v>0</v>
      </c>
      <c r="G93" s="161">
        <f t="shared" ref="G93" si="176">SUM(G94:G95)</f>
        <v>0</v>
      </c>
      <c r="H93" s="161">
        <f t="shared" si="175"/>
        <v>0</v>
      </c>
      <c r="I93" s="161">
        <f t="shared" ref="I93" si="177">SUM(I94:I95)</f>
        <v>0</v>
      </c>
      <c r="J93" s="161">
        <f t="shared" si="175"/>
        <v>0</v>
      </c>
      <c r="K93" s="161">
        <f t="shared" ref="K93:L93" si="178">SUM(K94:K95)</f>
        <v>0</v>
      </c>
      <c r="L93" s="161">
        <f t="shared" si="178"/>
        <v>0</v>
      </c>
      <c r="M93" s="161">
        <f t="shared" ref="M93" si="179">SUM(M94:M95)</f>
        <v>0</v>
      </c>
      <c r="N93" s="161">
        <f>SUM(N94:N95)</f>
        <v>0</v>
      </c>
      <c r="O93" s="161">
        <f t="shared" si="175"/>
        <v>0</v>
      </c>
      <c r="P93" s="161">
        <f t="shared" ref="P93" si="180">SUM(P94:P95)</f>
        <v>0</v>
      </c>
      <c r="Q93" s="161">
        <f t="shared" si="175"/>
        <v>0</v>
      </c>
      <c r="R93" s="161">
        <f t="shared" ref="R93" si="181">SUM(R94:R95)</f>
        <v>0</v>
      </c>
      <c r="S93" s="161">
        <f>SUM(S94:S95)</f>
        <v>0</v>
      </c>
      <c r="T93" s="161">
        <f t="shared" ref="T93" si="182">SUM(T94:T95)</f>
        <v>0</v>
      </c>
      <c r="U93" s="161">
        <f t="shared" ref="U93:V93" si="183">SUM(U94:U95)</f>
        <v>0</v>
      </c>
      <c r="V93" s="161">
        <f t="shared" si="183"/>
        <v>0</v>
      </c>
      <c r="W93" s="161">
        <f t="shared" si="175"/>
        <v>0</v>
      </c>
      <c r="X93" s="161">
        <f t="shared" ref="X93" si="184">SUM(X94:X95)</f>
        <v>0</v>
      </c>
      <c r="Y93" s="161">
        <f t="shared" ref="Y93" si="185">SUM(Y94:Y95)</f>
        <v>0</v>
      </c>
      <c r="Z93" s="161">
        <v>0</v>
      </c>
      <c r="AA93" s="202">
        <f>SUM(AA94:AA95)</f>
        <v>0</v>
      </c>
      <c r="AB93" s="161">
        <f>SUM(AB94:AB95)</f>
        <v>0</v>
      </c>
      <c r="AD93" s="149"/>
      <c r="AE93" s="149"/>
    </row>
    <row r="94" spans="1:31" x14ac:dyDescent="0.25">
      <c r="A94" s="171" t="s">
        <v>186</v>
      </c>
      <c r="B94" s="164" t="s">
        <v>187</v>
      </c>
      <c r="C94" s="173"/>
      <c r="D94" s="173">
        <v>0</v>
      </c>
      <c r="E94" s="173">
        <v>0</v>
      </c>
      <c r="F94" s="173"/>
      <c r="G94" s="173"/>
      <c r="H94" s="173"/>
      <c r="I94" s="173"/>
      <c r="J94" s="173"/>
      <c r="K94" s="173">
        <v>0</v>
      </c>
      <c r="L94" s="173">
        <v>0</v>
      </c>
      <c r="M94" s="173"/>
      <c r="N94" s="173">
        <v>0</v>
      </c>
      <c r="O94" s="173"/>
      <c r="P94" s="173"/>
      <c r="Q94" s="173"/>
      <c r="R94" s="173">
        <v>0</v>
      </c>
      <c r="S94" s="173">
        <v>0</v>
      </c>
      <c r="T94" s="173">
        <v>0</v>
      </c>
      <c r="U94" s="173"/>
      <c r="V94" s="173">
        <v>0</v>
      </c>
      <c r="W94" s="173"/>
      <c r="X94" s="173"/>
      <c r="Y94" s="173"/>
      <c r="Z94" s="173">
        <v>0</v>
      </c>
      <c r="AA94" s="201">
        <v>0</v>
      </c>
      <c r="AB94" s="173">
        <f>SUM(C94:AA94)</f>
        <v>0</v>
      </c>
      <c r="AD94" s="149"/>
      <c r="AE94" s="149"/>
    </row>
    <row r="95" spans="1:31" x14ac:dyDescent="0.25">
      <c r="A95" s="171" t="s">
        <v>188</v>
      </c>
      <c r="B95" s="164" t="s">
        <v>189</v>
      </c>
      <c r="C95" s="173"/>
      <c r="D95" s="173">
        <v>0</v>
      </c>
      <c r="E95" s="173">
        <v>0</v>
      </c>
      <c r="F95" s="173"/>
      <c r="G95" s="173"/>
      <c r="H95" s="173"/>
      <c r="I95" s="173"/>
      <c r="J95" s="173"/>
      <c r="K95" s="173">
        <v>0</v>
      </c>
      <c r="L95" s="173">
        <v>0</v>
      </c>
      <c r="M95" s="173"/>
      <c r="N95" s="173">
        <v>0</v>
      </c>
      <c r="O95" s="173"/>
      <c r="P95" s="173"/>
      <c r="Q95" s="173"/>
      <c r="R95" s="173">
        <v>0</v>
      </c>
      <c r="S95" s="173">
        <v>0</v>
      </c>
      <c r="T95" s="173">
        <v>0</v>
      </c>
      <c r="U95" s="173"/>
      <c r="V95" s="173">
        <v>0</v>
      </c>
      <c r="W95" s="173"/>
      <c r="X95" s="173"/>
      <c r="Y95" s="173"/>
      <c r="Z95" s="173">
        <v>0</v>
      </c>
      <c r="AA95" s="201">
        <v>0</v>
      </c>
      <c r="AB95" s="173">
        <f>SUM(C95:AA95)</f>
        <v>0</v>
      </c>
      <c r="AD95" s="149"/>
      <c r="AE95" s="149"/>
    </row>
    <row r="96" spans="1:31" x14ac:dyDescent="0.25">
      <c r="A96" s="209">
        <v>463</v>
      </c>
      <c r="B96" s="160" t="s">
        <v>190</v>
      </c>
      <c r="C96" s="161">
        <f t="shared" ref="C96:E96" si="186">SUM(C97:C98)</f>
        <v>37147.5</v>
      </c>
      <c r="D96" s="161">
        <f t="shared" si="186"/>
        <v>931691.83000000007</v>
      </c>
      <c r="E96" s="161">
        <f t="shared" si="186"/>
        <v>543916.81999999995</v>
      </c>
      <c r="F96" s="161">
        <f t="shared" ref="F96:W96" si="187">SUM(F97:F98)</f>
        <v>2488503.94</v>
      </c>
      <c r="G96" s="161">
        <f t="shared" ref="G96" si="188">SUM(G97:G98)</f>
        <v>2420983.19</v>
      </c>
      <c r="H96" s="161">
        <f t="shared" si="187"/>
        <v>1453019.17</v>
      </c>
      <c r="I96" s="161">
        <f t="shared" ref="I96" si="189">SUM(I97:I98)</f>
        <v>1393335.06</v>
      </c>
      <c r="J96" s="161">
        <f t="shared" si="187"/>
        <v>67254.12</v>
      </c>
      <c r="K96" s="161">
        <f t="shared" ref="K96:L96" si="190">SUM(K97:K98)</f>
        <v>1190279.6799999999</v>
      </c>
      <c r="L96" s="161">
        <f t="shared" si="190"/>
        <v>235057.62</v>
      </c>
      <c r="M96" s="161">
        <f t="shared" ref="M96" si="191">SUM(M97:M98)</f>
        <v>583185.74</v>
      </c>
      <c r="N96" s="161">
        <f t="shared" ref="N96" si="192">SUM(N97:N98)</f>
        <v>129039.44</v>
      </c>
      <c r="O96" s="161">
        <f t="shared" si="187"/>
        <v>1976978.55</v>
      </c>
      <c r="P96" s="161">
        <f t="shared" ref="P96" si="193">SUM(P97:P98)</f>
        <v>20059.13</v>
      </c>
      <c r="Q96" s="161">
        <f t="shared" si="187"/>
        <v>260436.25999999995</v>
      </c>
      <c r="R96" s="161">
        <f t="shared" ref="R96" si="194">SUM(R97:R98)</f>
        <v>4541.8599999999997</v>
      </c>
      <c r="S96" s="161">
        <f>SUM(S97:S98)</f>
        <v>1507738.4100000001</v>
      </c>
      <c r="T96" s="161">
        <f t="shared" ref="T96" si="195">SUM(T97:T98)</f>
        <v>1036677.01</v>
      </c>
      <c r="U96" s="161">
        <f t="shared" ref="U96:V96" si="196">SUM(U97:U98)</f>
        <v>1426878.87</v>
      </c>
      <c r="V96" s="161">
        <f t="shared" si="196"/>
        <v>93031.74</v>
      </c>
      <c r="W96" s="161">
        <f t="shared" si="187"/>
        <v>1885368.89</v>
      </c>
      <c r="X96" s="161">
        <f t="shared" ref="X96" si="197">SUM(X97:X98)</f>
        <v>77096.509999999995</v>
      </c>
      <c r="Y96" s="161">
        <f t="shared" ref="Y96" si="198">SUM(Y97:Y98)</f>
        <v>28591.019999999997</v>
      </c>
      <c r="Z96" s="161">
        <v>0</v>
      </c>
      <c r="AA96" s="202">
        <f>SUM(AA97:AA98)</f>
        <v>0</v>
      </c>
      <c r="AB96" s="161">
        <f>SUM(AB97:AB98)</f>
        <v>19790812.359999999</v>
      </c>
      <c r="AD96" s="149"/>
      <c r="AE96" s="149"/>
    </row>
    <row r="97" spans="1:31" x14ac:dyDescent="0.25">
      <c r="A97" s="171" t="s">
        <v>191</v>
      </c>
      <c r="B97" s="164" t="s">
        <v>190</v>
      </c>
      <c r="C97" s="165">
        <v>18763.2</v>
      </c>
      <c r="D97" s="165">
        <v>382940.43</v>
      </c>
      <c r="E97" s="165">
        <v>543916.81999999995</v>
      </c>
      <c r="F97" s="165">
        <v>2488503.94</v>
      </c>
      <c r="G97" s="165">
        <f>2416439.64+4543.55</f>
        <v>2420983.19</v>
      </c>
      <c r="H97" s="165">
        <v>1453019.17</v>
      </c>
      <c r="I97" s="165">
        <v>1393335.06</v>
      </c>
      <c r="J97" s="165">
        <v>67254.12</v>
      </c>
      <c r="K97" s="165">
        <v>1190279.6799999999</v>
      </c>
      <c r="L97" s="165">
        <v>235057.62</v>
      </c>
      <c r="M97" s="165">
        <v>583185.74</v>
      </c>
      <c r="N97" s="165">
        <v>129039.44</v>
      </c>
      <c r="O97" s="165">
        <v>1976978.55</v>
      </c>
      <c r="P97" s="165">
        <v>20059.13</v>
      </c>
      <c r="Q97" s="165">
        <v>260436.25999999995</v>
      </c>
      <c r="R97" s="165">
        <v>4541.8599999999997</v>
      </c>
      <c r="S97" s="165">
        <v>1507738.4100000001</v>
      </c>
      <c r="T97" s="165">
        <v>28506.98</v>
      </c>
      <c r="U97" s="165">
        <v>1426878.87</v>
      </c>
      <c r="V97" s="165">
        <v>93031.74</v>
      </c>
      <c r="W97" s="165">
        <v>1885368.89</v>
      </c>
      <c r="X97" s="165">
        <v>77096.509999999995</v>
      </c>
      <c r="Y97" s="165">
        <v>4827.26</v>
      </c>
      <c r="Z97" s="165">
        <v>0</v>
      </c>
      <c r="AA97" s="201">
        <v>0</v>
      </c>
      <c r="AB97" s="165">
        <f>SUM(C97:AA97)</f>
        <v>18191742.870000001</v>
      </c>
      <c r="AD97" s="149"/>
      <c r="AE97" s="149"/>
    </row>
    <row r="98" spans="1:31" x14ac:dyDescent="0.25">
      <c r="A98" s="171" t="s">
        <v>192</v>
      </c>
      <c r="B98" s="164" t="s">
        <v>193</v>
      </c>
      <c r="C98" s="173">
        <v>18384.3</v>
      </c>
      <c r="D98" s="173">
        <v>548751.4</v>
      </c>
      <c r="E98" s="173">
        <v>0</v>
      </c>
      <c r="F98" s="173"/>
      <c r="G98" s="173"/>
      <c r="H98" s="173"/>
      <c r="I98" s="173"/>
      <c r="J98" s="173"/>
      <c r="K98" s="173">
        <v>0</v>
      </c>
      <c r="L98" s="173">
        <v>0</v>
      </c>
      <c r="M98" s="173"/>
      <c r="N98" s="173">
        <v>0</v>
      </c>
      <c r="O98" s="173"/>
      <c r="P98" s="173">
        <v>0</v>
      </c>
      <c r="Q98" s="173"/>
      <c r="R98" s="173">
        <v>0</v>
      </c>
      <c r="S98" s="173"/>
      <c r="T98" s="173">
        <v>1008170.03</v>
      </c>
      <c r="U98" s="173"/>
      <c r="V98" s="173">
        <v>0</v>
      </c>
      <c r="W98" s="173"/>
      <c r="X98" s="173"/>
      <c r="Y98" s="173">
        <v>23763.759999999998</v>
      </c>
      <c r="Z98" s="173">
        <v>0</v>
      </c>
      <c r="AA98" s="201">
        <v>0</v>
      </c>
      <c r="AB98" s="173">
        <f>SUM(C98:AA98)</f>
        <v>1599069.49</v>
      </c>
      <c r="AD98" s="149"/>
      <c r="AE98" s="149"/>
    </row>
    <row r="99" spans="1:31" x14ac:dyDescent="0.25">
      <c r="A99" s="154" t="s">
        <v>194</v>
      </c>
      <c r="B99" s="155" t="s">
        <v>195</v>
      </c>
      <c r="C99" s="156">
        <f t="shared" ref="C99:E99" si="199">SUM(C100:C102)</f>
        <v>52366.03</v>
      </c>
      <c r="D99" s="156">
        <f t="shared" si="199"/>
        <v>136687.17000000001</v>
      </c>
      <c r="E99" s="156">
        <f t="shared" si="199"/>
        <v>88848.22</v>
      </c>
      <c r="F99" s="156">
        <f t="shared" ref="F99:W99" si="200">SUM(F100:F102)</f>
        <v>48316.65</v>
      </c>
      <c r="G99" s="156">
        <f t="shared" ref="G99" si="201">SUM(G100:G102)</f>
        <v>352851.47</v>
      </c>
      <c r="H99" s="156">
        <f t="shared" si="200"/>
        <v>117146.31</v>
      </c>
      <c r="I99" s="156">
        <f t="shared" ref="I99" si="202">SUM(I100:I102)</f>
        <v>31954.57</v>
      </c>
      <c r="J99" s="156">
        <f t="shared" si="200"/>
        <v>0</v>
      </c>
      <c r="K99" s="156">
        <f t="shared" ref="K99:L99" si="203">SUM(K100:K102)</f>
        <v>3200</v>
      </c>
      <c r="L99" s="156">
        <f t="shared" si="203"/>
        <v>74549.75</v>
      </c>
      <c r="M99" s="156">
        <f t="shared" ref="M99" si="204">SUM(M100:M102)</f>
        <v>73316.03</v>
      </c>
      <c r="N99" s="156">
        <f t="shared" ref="N99" si="205">SUM(N100:N102)</f>
        <v>22060.01</v>
      </c>
      <c r="O99" s="156">
        <f t="shared" si="200"/>
        <v>468848.11</v>
      </c>
      <c r="P99" s="156">
        <f t="shared" ref="P99" si="206">SUM(P100:P102)</f>
        <v>8829.17</v>
      </c>
      <c r="Q99" s="156">
        <f t="shared" si="200"/>
        <v>13071.1</v>
      </c>
      <c r="R99" s="156">
        <f t="shared" ref="R99" si="207">SUM(R100:R102)</f>
        <v>8050</v>
      </c>
      <c r="S99" s="156">
        <f>SUM(S100:S102)</f>
        <v>207338.28</v>
      </c>
      <c r="T99" s="156">
        <f t="shared" ref="T99" si="208">SUM(T100:T102)</f>
        <v>208918.8</v>
      </c>
      <c r="U99" s="156">
        <f t="shared" ref="U99:V99" si="209">SUM(U100:U102)</f>
        <v>129743.31</v>
      </c>
      <c r="V99" s="156">
        <f t="shared" si="209"/>
        <v>154834.23000000001</v>
      </c>
      <c r="W99" s="156">
        <f t="shared" si="200"/>
        <v>0</v>
      </c>
      <c r="X99" s="156">
        <f t="shared" ref="X99" si="210">SUM(X100:X102)</f>
        <v>10000</v>
      </c>
      <c r="Y99" s="157">
        <f t="shared" ref="Y99" si="211">SUM(Y100:Y102)</f>
        <v>27129.25</v>
      </c>
      <c r="Z99" s="157">
        <v>153893.62</v>
      </c>
      <c r="AA99" s="208">
        <f>SUM(AA100:AA102)</f>
        <v>8877.34</v>
      </c>
      <c r="AB99" s="156">
        <f>SUM(AB100:AB102)</f>
        <v>2400829.4200000004</v>
      </c>
      <c r="AD99" s="149"/>
      <c r="AE99" s="149"/>
    </row>
    <row r="100" spans="1:31" x14ac:dyDescent="0.25">
      <c r="A100" s="171">
        <v>471</v>
      </c>
      <c r="B100" s="164" t="s">
        <v>196</v>
      </c>
      <c r="C100" s="165">
        <v>49366.03</v>
      </c>
      <c r="D100" s="165">
        <v>136687.17000000001</v>
      </c>
      <c r="E100" s="165">
        <v>88848.22</v>
      </c>
      <c r="F100" s="165">
        <v>48316.65</v>
      </c>
      <c r="G100" s="165">
        <v>352851.47</v>
      </c>
      <c r="H100" s="165">
        <v>117146.31</v>
      </c>
      <c r="I100" s="165">
        <v>31954.57</v>
      </c>
      <c r="J100" s="165"/>
      <c r="K100" s="165">
        <v>3200</v>
      </c>
      <c r="L100" s="165">
        <v>35852</v>
      </c>
      <c r="M100" s="165">
        <v>56516.03</v>
      </c>
      <c r="N100" s="165">
        <v>22060.01</v>
      </c>
      <c r="O100" s="165">
        <v>468848.11</v>
      </c>
      <c r="P100" s="165">
        <v>8829.17</v>
      </c>
      <c r="Q100" s="165">
        <v>13071.1</v>
      </c>
      <c r="R100" s="165">
        <v>8050</v>
      </c>
      <c r="S100" s="165">
        <v>207338.28</v>
      </c>
      <c r="T100" s="165">
        <v>208918.8</v>
      </c>
      <c r="U100" s="165">
        <v>129743.31</v>
      </c>
      <c r="V100" s="165">
        <v>154834.23000000001</v>
      </c>
      <c r="W100" s="165"/>
      <c r="X100" s="165">
        <v>10000</v>
      </c>
      <c r="Y100" s="165">
        <v>27129.25</v>
      </c>
      <c r="Z100" s="165">
        <v>153893.62</v>
      </c>
      <c r="AA100" s="201">
        <v>8877.34</v>
      </c>
      <c r="AB100" s="165">
        <f>SUM(C100:AA100)</f>
        <v>2342331.6700000004</v>
      </c>
      <c r="AD100" s="149"/>
      <c r="AE100" s="149"/>
    </row>
    <row r="101" spans="1:31" x14ac:dyDescent="0.25">
      <c r="A101" s="171">
        <v>472</v>
      </c>
      <c r="B101" s="164" t="s">
        <v>197</v>
      </c>
      <c r="C101" s="173">
        <v>3000</v>
      </c>
      <c r="D101" s="173">
        <v>0</v>
      </c>
      <c r="E101" s="173">
        <v>0</v>
      </c>
      <c r="F101" s="173"/>
      <c r="G101" s="173"/>
      <c r="H101" s="173"/>
      <c r="I101" s="173">
        <v>0</v>
      </c>
      <c r="J101" s="173"/>
      <c r="K101" s="173">
        <v>0</v>
      </c>
      <c r="L101" s="173">
        <v>38697.75</v>
      </c>
      <c r="M101" s="173">
        <v>16800</v>
      </c>
      <c r="N101" s="173">
        <v>0</v>
      </c>
      <c r="O101" s="173"/>
      <c r="P101" s="173">
        <v>0</v>
      </c>
      <c r="Q101" s="173"/>
      <c r="R101" s="173">
        <v>0</v>
      </c>
      <c r="S101" s="173">
        <v>0</v>
      </c>
      <c r="T101" s="173">
        <v>0</v>
      </c>
      <c r="U101" s="173">
        <v>0</v>
      </c>
      <c r="V101" s="173">
        <v>0</v>
      </c>
      <c r="W101" s="173"/>
      <c r="X101" s="173"/>
      <c r="Y101" s="173"/>
      <c r="Z101" s="173">
        <v>0</v>
      </c>
      <c r="AA101" s="201">
        <v>0</v>
      </c>
      <c r="AB101" s="173">
        <f>SUM(C101:AA101)</f>
        <v>58497.75</v>
      </c>
      <c r="AD101" s="149"/>
      <c r="AE101" s="149"/>
    </row>
    <row r="102" spans="1:31" x14ac:dyDescent="0.25">
      <c r="A102" s="171">
        <v>473</v>
      </c>
      <c r="B102" s="164" t="s">
        <v>198</v>
      </c>
      <c r="C102" s="210"/>
      <c r="D102" s="210">
        <v>0</v>
      </c>
      <c r="E102" s="210">
        <v>0</v>
      </c>
      <c r="F102" s="210"/>
      <c r="G102" s="210"/>
      <c r="H102" s="210"/>
      <c r="I102" s="210"/>
      <c r="J102" s="210"/>
      <c r="K102" s="210">
        <v>0</v>
      </c>
      <c r="L102" s="210">
        <v>0</v>
      </c>
      <c r="M102" s="210"/>
      <c r="N102" s="210">
        <v>0</v>
      </c>
      <c r="O102" s="210"/>
      <c r="P102" s="210"/>
      <c r="Q102" s="210"/>
      <c r="R102" s="210">
        <v>0</v>
      </c>
      <c r="S102" s="210">
        <v>0</v>
      </c>
      <c r="T102" s="210">
        <v>0</v>
      </c>
      <c r="U102" s="210"/>
      <c r="V102" s="210">
        <v>0</v>
      </c>
      <c r="W102" s="210"/>
      <c r="X102" s="210"/>
      <c r="Y102" s="210"/>
      <c r="Z102" s="210">
        <v>0</v>
      </c>
      <c r="AA102" s="169">
        <v>0</v>
      </c>
      <c r="AB102" s="210">
        <f>SUM(C102:AA102)</f>
        <v>0</v>
      </c>
      <c r="AD102" s="149"/>
      <c r="AE102" s="149"/>
    </row>
    <row r="103" spans="1:31" x14ac:dyDescent="0.25">
      <c r="A103" s="247" t="s">
        <v>199</v>
      </c>
      <c r="B103" s="248"/>
      <c r="C103" s="186">
        <f t="shared" ref="C103:E103" si="212">C3+C74+C83+C89+C99</f>
        <v>2889724.56</v>
      </c>
      <c r="D103" s="186">
        <f t="shared" si="212"/>
        <v>21418102.980000004</v>
      </c>
      <c r="E103" s="186">
        <f t="shared" si="212"/>
        <v>3956320.62</v>
      </c>
      <c r="F103" s="186">
        <f t="shared" ref="F103:X103" si="213">F3+F74+F83+F89+F99</f>
        <v>13510985.959999999</v>
      </c>
      <c r="G103" s="186">
        <f t="shared" si="213"/>
        <v>35476369.409999996</v>
      </c>
      <c r="H103" s="186">
        <f t="shared" si="213"/>
        <v>10028650.01</v>
      </c>
      <c r="I103" s="186">
        <f t="shared" si="213"/>
        <v>6491093.3500000006</v>
      </c>
      <c r="J103" s="186">
        <f t="shared" si="213"/>
        <v>2037057.88</v>
      </c>
      <c r="K103" s="186">
        <f t="shared" si="213"/>
        <v>21682260.729999997</v>
      </c>
      <c r="L103" s="186">
        <f t="shared" si="213"/>
        <v>6633140.9100000001</v>
      </c>
      <c r="M103" s="186">
        <f t="shared" si="213"/>
        <v>17381766.030000001</v>
      </c>
      <c r="N103" s="186">
        <f t="shared" si="213"/>
        <v>3427108.2499999995</v>
      </c>
      <c r="O103" s="186">
        <f t="shared" si="213"/>
        <v>26078086.859999999</v>
      </c>
      <c r="P103" s="186">
        <f t="shared" si="213"/>
        <v>1756945.1999999997</v>
      </c>
      <c r="Q103" s="186">
        <f t="shared" si="213"/>
        <v>4747997.1099999994</v>
      </c>
      <c r="R103" s="186">
        <f t="shared" si="213"/>
        <v>418549.17000000004</v>
      </c>
      <c r="S103" s="186">
        <f>S3+S74+S83+S89+S99</f>
        <v>18542260.84</v>
      </c>
      <c r="T103" s="186">
        <f t="shared" ref="T103:V103" si="214">T3+T74+T83+T89+T99</f>
        <v>75052089.870000005</v>
      </c>
      <c r="U103" s="186">
        <f t="shared" si="214"/>
        <v>8468168.5300000012</v>
      </c>
      <c r="V103" s="186">
        <f t="shared" si="214"/>
        <v>18693179.560000002</v>
      </c>
      <c r="W103" s="186">
        <f t="shared" si="213"/>
        <v>11628031.969999999</v>
      </c>
      <c r="X103" s="186">
        <f t="shared" si="213"/>
        <v>3084052.6899999995</v>
      </c>
      <c r="Y103" s="187">
        <f>Y3+Y74+Y83+Y89+Y99</f>
        <v>1890321.0899999999</v>
      </c>
      <c r="Z103" s="187">
        <v>5243677.6900000004</v>
      </c>
      <c r="AA103" s="211">
        <f>SUM(AA3+AA74+AA83+AA89+AA99)</f>
        <v>1733582.5800000003</v>
      </c>
      <c r="AB103" s="186">
        <f>AB3+AB74+AB83+AB89+AB99</f>
        <v>322269523.85000002</v>
      </c>
      <c r="AD103" s="149"/>
      <c r="AE103" s="149"/>
    </row>
    <row r="104" spans="1:31" x14ac:dyDescent="0.25">
      <c r="AA104" s="212"/>
    </row>
    <row r="105" spans="1:31" x14ac:dyDescent="0.25">
      <c r="AA105" s="214"/>
    </row>
    <row r="107" spans="1:31" x14ac:dyDescent="0.25">
      <c r="AA107" s="212"/>
    </row>
    <row r="109" spans="1:31" x14ac:dyDescent="0.25">
      <c r="AA109" s="212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12:AB18 AB26 AB20:AB25 AB36 AB27:AB35 AB41 AB37:AB40 AB42:AB43 A5:B5 B2:G2 X2:Z2 A3:B3" formula="1"/>
    <ignoredError sqref="AB103 AB89:AB90 AB44 AB88 AB99 AB49 AB45:AB47 AB48 AB59:AB60 AB50:AB57 AB58 AB70 AB74:AB75 AB71:AB73 AB83:AB84 AB76:AB82 AB85:AB87 AB93:AB96 AB91:AB92 AB97:AB98 AB100:AB102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R24" sqref="R24"/>
    </sheetView>
  </sheetViews>
  <sheetFormatPr defaultRowHeight="15" x14ac:dyDescent="0.25"/>
  <cols>
    <col min="1" max="1" width="8.7109375" style="146" customWidth="1"/>
    <col min="2" max="2" width="52.140625" style="146" customWidth="1"/>
    <col min="3" max="28" width="18.7109375" style="146" customWidth="1"/>
    <col min="29" max="16384" width="9.140625" style="146"/>
  </cols>
  <sheetData>
    <row r="1" spans="1:28" x14ac:dyDescent="0.25">
      <c r="A1" s="254" t="s">
        <v>284</v>
      </c>
      <c r="B1" s="254"/>
      <c r="C1" s="254"/>
      <c r="D1" s="254"/>
      <c r="E1" s="254"/>
      <c r="F1" s="254"/>
      <c r="G1" s="254"/>
      <c r="H1" s="255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6"/>
    </row>
    <row r="2" spans="1:28" ht="46.5" customHeight="1" x14ac:dyDescent="0.25">
      <c r="A2" s="253" t="s">
        <v>285</v>
      </c>
      <c r="B2" s="253" t="s">
        <v>286</v>
      </c>
      <c r="C2" s="215" t="s">
        <v>2</v>
      </c>
      <c r="D2" s="215" t="s">
        <v>3</v>
      </c>
      <c r="E2" s="215" t="s">
        <v>4</v>
      </c>
      <c r="F2" s="215" t="s">
        <v>5</v>
      </c>
      <c r="G2" s="215" t="s">
        <v>6</v>
      </c>
      <c r="H2" s="215" t="s">
        <v>22</v>
      </c>
      <c r="I2" s="215" t="s">
        <v>7</v>
      </c>
      <c r="J2" s="215" t="s">
        <v>8</v>
      </c>
      <c r="K2" s="215" t="s">
        <v>9</v>
      </c>
      <c r="L2" s="215" t="s">
        <v>10</v>
      </c>
      <c r="M2" s="215" t="s">
        <v>11</v>
      </c>
      <c r="N2" s="215" t="s">
        <v>12</v>
      </c>
      <c r="O2" s="215" t="s">
        <v>13</v>
      </c>
      <c r="P2" s="215" t="s">
        <v>14</v>
      </c>
      <c r="Q2" s="215" t="s">
        <v>15</v>
      </c>
      <c r="R2" s="246" t="s">
        <v>16</v>
      </c>
      <c r="S2" s="215" t="s">
        <v>17</v>
      </c>
      <c r="T2" s="215" t="s">
        <v>18</v>
      </c>
      <c r="U2" s="215" t="s">
        <v>19</v>
      </c>
      <c r="V2" s="215" t="s">
        <v>20</v>
      </c>
      <c r="W2" s="215" t="s">
        <v>21</v>
      </c>
      <c r="X2" s="215" t="s">
        <v>23</v>
      </c>
      <c r="Y2" s="215" t="s">
        <v>24</v>
      </c>
      <c r="Z2" s="216" t="s">
        <v>25</v>
      </c>
      <c r="AA2" s="217" t="s">
        <v>326</v>
      </c>
      <c r="AB2" s="257" t="s">
        <v>444</v>
      </c>
    </row>
    <row r="3" spans="1:28" x14ac:dyDescent="0.25">
      <c r="A3" s="253"/>
      <c r="B3" s="253"/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58"/>
    </row>
    <row r="4" spans="1:28" x14ac:dyDescent="0.25">
      <c r="A4" s="219" t="s">
        <v>27</v>
      </c>
      <c r="B4" s="220" t="s">
        <v>287</v>
      </c>
      <c r="C4" s="221">
        <f t="shared" ref="C4" si="0">+C5+C6+C7</f>
        <v>2826.55</v>
      </c>
      <c r="D4" s="221">
        <f t="shared" ref="D4" si="1">+D5+D6+D7</f>
        <v>471510.45</v>
      </c>
      <c r="E4" s="221">
        <f t="shared" ref="E4" si="2">+E5+E6+E7</f>
        <v>2092054.9</v>
      </c>
      <c r="F4" s="221">
        <f t="shared" ref="F4" si="3">+F5+F6+F7</f>
        <v>1890744.35</v>
      </c>
      <c r="G4" s="221">
        <f t="shared" ref="G4" si="4">+G5+G6+G7</f>
        <v>167787.47</v>
      </c>
      <c r="H4" s="221">
        <f t="shared" ref="H4" si="5">+H5+H6+H7</f>
        <v>764000</v>
      </c>
      <c r="I4" s="221">
        <f t="shared" ref="I4" si="6">+I5+I6+I7</f>
        <v>422790.41</v>
      </c>
      <c r="J4" s="221">
        <f t="shared" ref="J4" si="7">+J5+J6+J7</f>
        <v>0</v>
      </c>
      <c r="K4" s="221">
        <f t="shared" ref="K4" si="8">+K5+K6+K7</f>
        <v>1781815.56</v>
      </c>
      <c r="L4" s="221">
        <f t="shared" ref="L4" si="9">+L5+L6+L7</f>
        <v>8669.44</v>
      </c>
      <c r="M4" s="221">
        <f t="shared" ref="M4" si="10">+M5+M6+M7</f>
        <v>611538.64</v>
      </c>
      <c r="N4" s="221">
        <f t="shared" ref="N4" si="11">+N5+N6+N7</f>
        <v>0</v>
      </c>
      <c r="O4" s="221">
        <f t="shared" ref="O4" si="12">+O5+O6+O7</f>
        <v>22620.02</v>
      </c>
      <c r="P4" s="221">
        <f t="shared" ref="P4" si="13">+P5+P6+P7</f>
        <v>68055.179999999993</v>
      </c>
      <c r="Q4" s="221">
        <f t="shared" ref="Q4" si="14">+Q5+Q6+Q7</f>
        <v>250666.47999999998</v>
      </c>
      <c r="R4" s="221">
        <f t="shared" ref="R4" si="15">+R5+R6+R7</f>
        <v>23455.99</v>
      </c>
      <c r="S4" s="221">
        <f t="shared" ref="S4" si="16">+S5+S6+S7</f>
        <v>895529.27</v>
      </c>
      <c r="T4" s="221">
        <f t="shared" ref="T4" si="17">+T5+T6+T7</f>
        <v>89391.180000000008</v>
      </c>
      <c r="U4" s="221">
        <f t="shared" ref="U4" si="18">+U5+U6+U7</f>
        <v>4774922.17</v>
      </c>
      <c r="V4" s="221">
        <f t="shared" ref="V4" si="19">+V5+V6+V7</f>
        <v>0</v>
      </c>
      <c r="W4" s="221">
        <f t="shared" ref="W4" si="20">+W5+W6+W7</f>
        <v>5042220.8000000007</v>
      </c>
      <c r="X4" s="221">
        <f t="shared" ref="X4" si="21">+X5+X6+X7</f>
        <v>87405.680000000008</v>
      </c>
      <c r="Y4" s="221">
        <f t="shared" ref="Y4" si="22">+Y5+Y6+Y7</f>
        <v>5737.26</v>
      </c>
      <c r="Z4" s="221">
        <f t="shared" ref="Z4:AA4" si="23">+Z5+Z6+Z7</f>
        <v>0</v>
      </c>
      <c r="AA4" s="221">
        <f t="shared" si="23"/>
        <v>11541.42</v>
      </c>
      <c r="AB4" s="222">
        <f t="shared" ref="AB4" si="24">+AB5+AB6+AB7</f>
        <v>19485283.219999999</v>
      </c>
    </row>
    <row r="5" spans="1:28" s="147" customFormat="1" x14ac:dyDescent="0.25">
      <c r="A5" s="223"/>
      <c r="B5" s="224" t="s">
        <v>288</v>
      </c>
      <c r="C5" s="225"/>
      <c r="D5" s="225">
        <v>383288.38</v>
      </c>
      <c r="E5" s="226">
        <v>2028595.88</v>
      </c>
      <c r="F5" s="227">
        <v>1725480.76</v>
      </c>
      <c r="G5" s="225">
        <v>25478.33</v>
      </c>
      <c r="H5" s="225">
        <v>274811</v>
      </c>
      <c r="I5" s="225">
        <v>170638.46</v>
      </c>
      <c r="J5" s="227"/>
      <c r="K5" s="225">
        <v>436915.64</v>
      </c>
      <c r="L5" s="225"/>
      <c r="M5" s="225">
        <v>363053.64</v>
      </c>
      <c r="N5" s="225">
        <v>0</v>
      </c>
      <c r="O5" s="225">
        <v>6.3</v>
      </c>
      <c r="P5" s="225">
        <f>41193.06+2250.88+5031.17+934.98</f>
        <v>49410.09</v>
      </c>
      <c r="Q5" s="225">
        <v>241211.68</v>
      </c>
      <c r="R5" s="228">
        <v>0</v>
      </c>
      <c r="S5" s="225">
        <v>380947.11</v>
      </c>
      <c r="T5" s="225">
        <v>-126960.86</v>
      </c>
      <c r="U5" s="229">
        <v>4724820.21</v>
      </c>
      <c r="V5" s="225">
        <v>0</v>
      </c>
      <c r="W5" s="228">
        <v>1921243.36</v>
      </c>
      <c r="X5" s="225">
        <v>80772.38</v>
      </c>
      <c r="Y5" s="230"/>
      <c r="Z5" s="225"/>
      <c r="AA5" s="225">
        <v>0</v>
      </c>
      <c r="AB5" s="231">
        <f t="shared" ref="AB5:AB10" si="25">+C5+D5+E5+F5+G5+H5+I5+J5+K5+L5+M5+N5+O5+P5+Q5+R5+S5+T5+U5+V5+W5+X5+Y5+Z5+AA5</f>
        <v>12679712.359999998</v>
      </c>
    </row>
    <row r="6" spans="1:28" x14ac:dyDescent="0.25">
      <c r="A6" s="223"/>
      <c r="B6" s="224" t="s">
        <v>289</v>
      </c>
      <c r="C6" s="232"/>
      <c r="D6" s="232">
        <v>11485</v>
      </c>
      <c r="E6" s="233">
        <v>7480</v>
      </c>
      <c r="F6" s="227">
        <v>6605.82</v>
      </c>
      <c r="G6" s="232">
        <v>6297.48</v>
      </c>
      <c r="H6" s="232">
        <v>38079</v>
      </c>
      <c r="I6" s="232">
        <v>20359.8</v>
      </c>
      <c r="J6" s="227"/>
      <c r="K6" s="232">
        <v>0</v>
      </c>
      <c r="L6" s="232">
        <v>0</v>
      </c>
      <c r="M6" s="232">
        <v>12685</v>
      </c>
      <c r="N6" s="232">
        <v>0</v>
      </c>
      <c r="O6" s="232">
        <v>1100</v>
      </c>
      <c r="P6" s="232">
        <v>3100</v>
      </c>
      <c r="Q6" s="232">
        <v>702.36</v>
      </c>
      <c r="R6" s="228"/>
      <c r="S6" s="232">
        <v>22714.19</v>
      </c>
      <c r="T6" s="232">
        <v>67824.19</v>
      </c>
      <c r="U6" s="229">
        <v>23109.9</v>
      </c>
      <c r="V6" s="232">
        <v>0</v>
      </c>
      <c r="W6" s="232">
        <v>76799.88</v>
      </c>
      <c r="X6" s="232">
        <v>2201.09</v>
      </c>
      <c r="Y6" s="234"/>
      <c r="Z6" s="232"/>
      <c r="AA6" s="232">
        <v>0</v>
      </c>
      <c r="AB6" s="231">
        <f t="shared" si="25"/>
        <v>300543.71000000002</v>
      </c>
    </row>
    <row r="7" spans="1:28" x14ac:dyDescent="0.25">
      <c r="A7" s="223"/>
      <c r="B7" s="224" t="s">
        <v>290</v>
      </c>
      <c r="C7" s="225">
        <v>2826.55</v>
      </c>
      <c r="D7" s="225">
        <v>76737.070000000007</v>
      </c>
      <c r="E7" s="235">
        <v>55979.02</v>
      </c>
      <c r="F7" s="227">
        <v>158657.76999999999</v>
      </c>
      <c r="G7" s="225">
        <v>136011.66</v>
      </c>
      <c r="H7" s="225">
        <v>451110</v>
      </c>
      <c r="I7" s="225">
        <v>231792.15</v>
      </c>
      <c r="J7" s="227"/>
      <c r="K7" s="225">
        <v>1344899.92</v>
      </c>
      <c r="L7" s="225">
        <v>8669.44</v>
      </c>
      <c r="M7" s="225">
        <v>235800</v>
      </c>
      <c r="N7" s="225">
        <v>0</v>
      </c>
      <c r="O7" s="225">
        <v>21513.72</v>
      </c>
      <c r="P7" s="225">
        <f>172.4+596.54+1167.11+1150+150+98.01+10+16.95+10.8+10.52+24.33+18.11+140+23+546.76+140.75+229.81+900+700+2300+605+6495+40</f>
        <v>15545.09</v>
      </c>
      <c r="Q7" s="225">
        <v>8752.4399999999987</v>
      </c>
      <c r="R7" s="228">
        <v>23455.99</v>
      </c>
      <c r="S7" s="225">
        <v>491867.97</v>
      </c>
      <c r="T7" s="225">
        <v>148527.85</v>
      </c>
      <c r="U7" s="229">
        <v>26992.06</v>
      </c>
      <c r="V7" s="225">
        <v>0</v>
      </c>
      <c r="W7" s="227">
        <v>3044177.56</v>
      </c>
      <c r="X7" s="225">
        <v>4432.21</v>
      </c>
      <c r="Y7" s="230">
        <v>5737.26</v>
      </c>
      <c r="Z7" s="225"/>
      <c r="AA7" s="225">
        <v>11541.42</v>
      </c>
      <c r="AB7" s="231">
        <f t="shared" si="25"/>
        <v>6505027.1499999994</v>
      </c>
    </row>
    <row r="8" spans="1:28" x14ac:dyDescent="0.25">
      <c r="A8" s="236" t="s">
        <v>153</v>
      </c>
      <c r="B8" s="220" t="s">
        <v>291</v>
      </c>
      <c r="C8" s="221">
        <v>0</v>
      </c>
      <c r="D8" s="221"/>
      <c r="E8" s="237"/>
      <c r="F8" s="221">
        <v>0</v>
      </c>
      <c r="G8" s="221"/>
      <c r="H8" s="221"/>
      <c r="I8" s="221"/>
      <c r="J8" s="221">
        <v>0</v>
      </c>
      <c r="K8" s="221"/>
      <c r="L8" s="221">
        <v>100</v>
      </c>
      <c r="M8" s="221"/>
      <c r="N8" s="221">
        <v>0</v>
      </c>
      <c r="O8" s="221">
        <v>0</v>
      </c>
      <c r="P8" s="221">
        <v>512.65</v>
      </c>
      <c r="Q8" s="221">
        <v>0</v>
      </c>
      <c r="R8" s="221"/>
      <c r="S8" s="221">
        <v>103187.8</v>
      </c>
      <c r="T8" s="221">
        <v>0</v>
      </c>
      <c r="U8" s="221"/>
      <c r="V8" s="221">
        <v>0</v>
      </c>
      <c r="W8" s="238">
        <v>2940</v>
      </c>
      <c r="X8" s="221"/>
      <c r="Y8" s="221">
        <v>0</v>
      </c>
      <c r="Z8" s="221">
        <v>0</v>
      </c>
      <c r="AA8" s="221">
        <v>0</v>
      </c>
      <c r="AB8" s="222">
        <f t="shared" si="25"/>
        <v>106740.45</v>
      </c>
    </row>
    <row r="9" spans="1:28" x14ac:dyDescent="0.25">
      <c r="A9" s="236" t="s">
        <v>168</v>
      </c>
      <c r="B9" s="220" t="s">
        <v>292</v>
      </c>
      <c r="C9" s="221">
        <v>0</v>
      </c>
      <c r="D9" s="221">
        <f>10258.83+382833.37</f>
        <v>393092.2</v>
      </c>
      <c r="E9" s="237">
        <v>20378.55</v>
      </c>
      <c r="F9" s="221">
        <v>80079.649999999994</v>
      </c>
      <c r="G9" s="221">
        <v>625371.24</v>
      </c>
      <c r="H9" s="221">
        <v>442972</v>
      </c>
      <c r="I9" s="221">
        <v>116303.47</v>
      </c>
      <c r="J9" s="221">
        <v>0</v>
      </c>
      <c r="K9" s="221">
        <v>334721</v>
      </c>
      <c r="L9" s="221">
        <v>32744.3</v>
      </c>
      <c r="M9" s="221"/>
      <c r="N9" s="221">
        <v>0</v>
      </c>
      <c r="O9" s="221">
        <v>75519.039999999994</v>
      </c>
      <c r="P9" s="221">
        <v>23246</v>
      </c>
      <c r="Q9" s="221">
        <v>23221.68</v>
      </c>
      <c r="R9" s="221"/>
      <c r="S9" s="221">
        <v>65293.46</v>
      </c>
      <c r="T9" s="221">
        <v>109012.45</v>
      </c>
      <c r="U9" s="221">
        <v>256798.61</v>
      </c>
      <c r="V9" s="221">
        <v>0</v>
      </c>
      <c r="W9" s="238">
        <v>244490.4</v>
      </c>
      <c r="X9" s="221">
        <v>52885.93</v>
      </c>
      <c r="Y9" s="221">
        <v>0</v>
      </c>
      <c r="Z9" s="221">
        <v>0</v>
      </c>
      <c r="AA9" s="221">
        <v>659.82</v>
      </c>
      <c r="AB9" s="222">
        <f t="shared" si="25"/>
        <v>2896789.8000000003</v>
      </c>
    </row>
    <row r="10" spans="1:28" x14ac:dyDescent="0.25">
      <c r="A10" s="236" t="s">
        <v>178</v>
      </c>
      <c r="B10" s="220" t="s">
        <v>293</v>
      </c>
      <c r="C10" s="221">
        <v>0</v>
      </c>
      <c r="D10" s="221">
        <v>46330.36</v>
      </c>
      <c r="E10" s="237">
        <v>0</v>
      </c>
      <c r="F10" s="221">
        <v>4538.45</v>
      </c>
      <c r="G10" s="221">
        <v>41963.38</v>
      </c>
      <c r="H10" s="221">
        <v>90256</v>
      </c>
      <c r="I10" s="221">
        <v>0</v>
      </c>
      <c r="J10" s="221">
        <v>0</v>
      </c>
      <c r="K10" s="221">
        <v>100181.97</v>
      </c>
      <c r="L10" s="221">
        <v>45455.56</v>
      </c>
      <c r="M10" s="221"/>
      <c r="N10" s="221">
        <v>0</v>
      </c>
      <c r="O10" s="221">
        <v>2479.94</v>
      </c>
      <c r="P10" s="221">
        <f>3693+4378</f>
        <v>8071</v>
      </c>
      <c r="Q10" s="221">
        <v>9350.4</v>
      </c>
      <c r="R10" s="221"/>
      <c r="S10" s="221">
        <v>579150.4</v>
      </c>
      <c r="T10" s="221">
        <v>450641.81</v>
      </c>
      <c r="U10" s="221">
        <v>0</v>
      </c>
      <c r="V10" s="221">
        <v>0</v>
      </c>
      <c r="W10" s="238">
        <v>136835.64000000001</v>
      </c>
      <c r="X10" s="221">
        <v>238235.28</v>
      </c>
      <c r="Y10" s="221">
        <v>0</v>
      </c>
      <c r="Z10" s="221">
        <v>0</v>
      </c>
      <c r="AA10" s="221">
        <v>0</v>
      </c>
      <c r="AB10" s="222">
        <f t="shared" si="25"/>
        <v>1753490.1900000002</v>
      </c>
    </row>
    <row r="11" spans="1:28" x14ac:dyDescent="0.25">
      <c r="A11" s="236" t="s">
        <v>194</v>
      </c>
      <c r="B11" s="220" t="s">
        <v>294</v>
      </c>
      <c r="C11" s="221">
        <f>C12+C13</f>
        <v>0</v>
      </c>
      <c r="D11" s="221">
        <f t="shared" ref="D11:AA11" si="26">D12+D13</f>
        <v>5914635.54</v>
      </c>
      <c r="E11" s="221">
        <f t="shared" si="26"/>
        <v>0</v>
      </c>
      <c r="F11" s="221">
        <f t="shared" si="26"/>
        <v>0</v>
      </c>
      <c r="G11" s="221">
        <f t="shared" si="26"/>
        <v>0</v>
      </c>
      <c r="H11" s="221">
        <f t="shared" si="26"/>
        <v>0</v>
      </c>
      <c r="I11" s="221">
        <f t="shared" si="26"/>
        <v>0</v>
      </c>
      <c r="J11" s="221">
        <f t="shared" si="26"/>
        <v>0</v>
      </c>
      <c r="K11" s="221">
        <f t="shared" si="26"/>
        <v>8982525.1899999995</v>
      </c>
      <c r="L11" s="221">
        <f t="shared" si="26"/>
        <v>0</v>
      </c>
      <c r="M11" s="221">
        <f t="shared" si="26"/>
        <v>0</v>
      </c>
      <c r="N11" s="221">
        <f t="shared" si="26"/>
        <v>0</v>
      </c>
      <c r="O11" s="221">
        <f t="shared" si="26"/>
        <v>0</v>
      </c>
      <c r="P11" s="221">
        <f t="shared" si="26"/>
        <v>0</v>
      </c>
      <c r="Q11" s="221">
        <f t="shared" si="26"/>
        <v>0</v>
      </c>
      <c r="R11" s="221">
        <f t="shared" si="26"/>
        <v>0</v>
      </c>
      <c r="S11" s="221">
        <f t="shared" si="26"/>
        <v>0</v>
      </c>
      <c r="T11" s="221">
        <f t="shared" si="26"/>
        <v>0</v>
      </c>
      <c r="U11" s="221">
        <f t="shared" si="26"/>
        <v>467889.98</v>
      </c>
      <c r="V11" s="221">
        <f t="shared" si="26"/>
        <v>0</v>
      </c>
      <c r="W11" s="221">
        <f t="shared" si="26"/>
        <v>0</v>
      </c>
      <c r="X11" s="221">
        <f t="shared" si="26"/>
        <v>0</v>
      </c>
      <c r="Y11" s="221">
        <f t="shared" si="26"/>
        <v>0</v>
      </c>
      <c r="Z11" s="221">
        <f t="shared" si="26"/>
        <v>0</v>
      </c>
      <c r="AA11" s="221">
        <f t="shared" si="26"/>
        <v>0</v>
      </c>
      <c r="AB11" s="222">
        <f t="shared" ref="AB11" si="27">AB12+AB13</f>
        <v>15365050.710000001</v>
      </c>
    </row>
    <row r="12" spans="1:28" x14ac:dyDescent="0.25">
      <c r="A12" s="239" t="s">
        <v>295</v>
      </c>
      <c r="B12" s="240" t="s">
        <v>296</v>
      </c>
      <c r="C12" s="241"/>
      <c r="D12" s="241">
        <v>5914635.54</v>
      </c>
      <c r="E12" s="242"/>
      <c r="F12" s="243"/>
      <c r="G12" s="241"/>
      <c r="H12" s="241">
        <v>0</v>
      </c>
      <c r="I12" s="241"/>
      <c r="J12" s="243"/>
      <c r="K12" s="243">
        <v>8982525.1899999995</v>
      </c>
      <c r="L12" s="241"/>
      <c r="M12" s="241"/>
      <c r="N12" s="241">
        <v>0</v>
      </c>
      <c r="O12" s="241">
        <v>0</v>
      </c>
      <c r="P12" s="241"/>
      <c r="Q12" s="241">
        <v>0</v>
      </c>
      <c r="R12" s="241"/>
      <c r="S12" s="241"/>
      <c r="T12" s="241"/>
      <c r="U12" s="241">
        <v>384468.93</v>
      </c>
      <c r="V12" s="241">
        <v>0</v>
      </c>
      <c r="W12" s="243">
        <v>0</v>
      </c>
      <c r="X12" s="241"/>
      <c r="Y12" s="241"/>
      <c r="Z12" s="241"/>
      <c r="AA12" s="241">
        <v>0</v>
      </c>
      <c r="AB12" s="231">
        <f>+C12+D12+E12+F12+G12+H12+I12+J12+K12+L12+M12+N12+O12+P12+Q12+R12+S12+T12+U12+V12+W12+X12+Y12+Z12+AA12</f>
        <v>15281629.66</v>
      </c>
    </row>
    <row r="13" spans="1:28" x14ac:dyDescent="0.25">
      <c r="A13" s="223" t="s">
        <v>297</v>
      </c>
      <c r="B13" s="224" t="s">
        <v>298</v>
      </c>
      <c r="C13" s="148"/>
      <c r="D13" s="148"/>
      <c r="E13" s="233"/>
      <c r="F13" s="227"/>
      <c r="G13" s="148"/>
      <c r="H13" s="148">
        <v>0</v>
      </c>
      <c r="I13" s="148"/>
      <c r="J13" s="227"/>
      <c r="K13" s="148"/>
      <c r="L13" s="148"/>
      <c r="M13" s="148"/>
      <c r="N13" s="148">
        <v>0</v>
      </c>
      <c r="O13" s="148">
        <v>0</v>
      </c>
      <c r="P13" s="148"/>
      <c r="Q13" s="148">
        <v>0</v>
      </c>
      <c r="R13" s="241"/>
      <c r="S13" s="148"/>
      <c r="T13" s="148"/>
      <c r="U13" s="244">
        <v>83421.05</v>
      </c>
      <c r="V13" s="148">
        <v>0</v>
      </c>
      <c r="W13" s="227">
        <v>0</v>
      </c>
      <c r="X13" s="148"/>
      <c r="Y13" s="148"/>
      <c r="Z13" s="148"/>
      <c r="AA13" s="148">
        <v>0</v>
      </c>
      <c r="AB13" s="231">
        <f>+C13+D13+E13+F13+G13+H13+I13+J13+K13+L13+M13+N13+O13+P13+Q13+R13+S13+T13+U13+V13+W13+X13+Y13+Z13+AA13</f>
        <v>83421.05</v>
      </c>
    </row>
    <row r="14" spans="1:28" x14ac:dyDescent="0.25">
      <c r="A14" s="236" t="s">
        <v>299</v>
      </c>
      <c r="B14" s="220" t="s">
        <v>300</v>
      </c>
      <c r="C14" s="221"/>
      <c r="D14" s="221">
        <v>502965.78</v>
      </c>
      <c r="E14" s="237">
        <v>294075.28000000003</v>
      </c>
      <c r="F14" s="238"/>
      <c r="G14" s="221">
        <v>13940294.210000001</v>
      </c>
      <c r="H14" s="221">
        <v>5744103</v>
      </c>
      <c r="I14" s="221">
        <v>64369.04</v>
      </c>
      <c r="J14" s="238"/>
      <c r="K14" s="221"/>
      <c r="L14" s="221">
        <v>90185.24</v>
      </c>
      <c r="M14" s="221"/>
      <c r="N14" s="221">
        <v>0</v>
      </c>
      <c r="O14" s="221">
        <v>5970</v>
      </c>
      <c r="P14" s="221">
        <v>0</v>
      </c>
      <c r="Q14" s="221">
        <v>13444.34</v>
      </c>
      <c r="R14" s="221">
        <v>0</v>
      </c>
      <c r="S14" s="221">
        <v>79048.02</v>
      </c>
      <c r="T14" s="221">
        <v>2096.09</v>
      </c>
      <c r="U14" s="221"/>
      <c r="V14" s="221">
        <v>0</v>
      </c>
      <c r="W14" s="238">
        <v>6349951.5100000007</v>
      </c>
      <c r="X14" s="221"/>
      <c r="Y14" s="221"/>
      <c r="Z14" s="221"/>
      <c r="AA14" s="221">
        <v>0</v>
      </c>
      <c r="AB14" s="222">
        <f>+C14+D14+E14+F14+G14+H14+I14+J14+K14+L14+M14+N14+O14+P14+Q14+R14+S14+T14+U14+V14+W14+X14+Y14+Z14+AA14</f>
        <v>27086502.510000002</v>
      </c>
    </row>
    <row r="15" spans="1:28" x14ac:dyDescent="0.25">
      <c r="A15" s="236" t="s">
        <v>301</v>
      </c>
      <c r="B15" s="220" t="s">
        <v>322</v>
      </c>
      <c r="C15" s="221"/>
      <c r="D15" s="221"/>
      <c r="E15" s="237">
        <v>0</v>
      </c>
      <c r="F15" s="238"/>
      <c r="G15" s="221"/>
      <c r="H15" s="221">
        <v>1719568</v>
      </c>
      <c r="I15" s="221">
        <v>0</v>
      </c>
      <c r="J15" s="238"/>
      <c r="K15" s="221"/>
      <c r="L15" s="221"/>
      <c r="M15" s="221"/>
      <c r="N15" s="221">
        <v>0</v>
      </c>
      <c r="O15" s="221">
        <v>0</v>
      </c>
      <c r="P15" s="221">
        <v>0</v>
      </c>
      <c r="Q15" s="221">
        <v>0</v>
      </c>
      <c r="R15" s="221"/>
      <c r="S15" s="221"/>
      <c r="T15" s="221"/>
      <c r="U15" s="221">
        <v>813893.28</v>
      </c>
      <c r="V15" s="221">
        <v>0</v>
      </c>
      <c r="W15" s="238">
        <v>0</v>
      </c>
      <c r="X15" s="221"/>
      <c r="Y15" s="221">
        <v>207907.01</v>
      </c>
      <c r="Z15" s="221"/>
      <c r="AA15" s="221">
        <v>0</v>
      </c>
      <c r="AB15" s="222">
        <f>+C15+D15+E15+F15+G15+H15+I15+J15+K15+L15+M15+N15+O15+P15+Q15+R15+S15+T15+U15+V15+W15+X15+Y15+Z15+AA15</f>
        <v>2741368.29</v>
      </c>
    </row>
    <row r="16" spans="1:28" x14ac:dyDescent="0.25">
      <c r="A16" s="236" t="s">
        <v>323</v>
      </c>
      <c r="B16" s="220" t="s">
        <v>302</v>
      </c>
      <c r="C16" s="221"/>
      <c r="D16" s="221">
        <v>1500</v>
      </c>
      <c r="E16" s="237">
        <v>815.68</v>
      </c>
      <c r="F16" s="238"/>
      <c r="G16" s="221"/>
      <c r="H16" s="221">
        <v>2300</v>
      </c>
      <c r="I16" s="221"/>
      <c r="J16" s="238"/>
      <c r="K16" s="221"/>
      <c r="L16" s="221">
        <v>64.34</v>
      </c>
      <c r="M16" s="221"/>
      <c r="N16" s="221">
        <v>0</v>
      </c>
      <c r="O16" s="221">
        <v>0</v>
      </c>
      <c r="P16" s="221">
        <v>427</v>
      </c>
      <c r="Q16" s="221">
        <v>0</v>
      </c>
      <c r="R16" s="221"/>
      <c r="S16" s="221">
        <v>5150</v>
      </c>
      <c r="T16" s="221">
        <v>0</v>
      </c>
      <c r="U16" s="221"/>
      <c r="V16" s="221">
        <v>0</v>
      </c>
      <c r="W16" s="238">
        <v>0</v>
      </c>
      <c r="X16" s="221"/>
      <c r="Y16" s="221"/>
      <c r="Z16" s="221"/>
      <c r="AA16" s="221">
        <v>0</v>
      </c>
      <c r="AB16" s="222">
        <f>+C16+D16+E16+F16+G16+H16+I16+J16+K16+L16+M16+N16+O16+P16+Q16+R16+S16+T16+U16+V16+W16+X16+Y16+Z16+AA16</f>
        <v>10257.02</v>
      </c>
    </row>
    <row r="17" spans="1:28" x14ac:dyDescent="0.25">
      <c r="A17" s="253" t="s">
        <v>303</v>
      </c>
      <c r="B17" s="253"/>
      <c r="C17" s="150">
        <f>+C4+C8+C9+C10+C11+C14+C15+C16</f>
        <v>2826.55</v>
      </c>
      <c r="D17" s="150">
        <f t="shared" ref="D17:AA17" si="28">+D4+D8+D9+D10+D11+D14+D15+D16</f>
        <v>7330034.3300000001</v>
      </c>
      <c r="E17" s="150">
        <f t="shared" si="28"/>
        <v>2407324.4099999997</v>
      </c>
      <c r="F17" s="150">
        <f t="shared" si="28"/>
        <v>1975362.45</v>
      </c>
      <c r="G17" s="150">
        <f t="shared" si="28"/>
        <v>14775416.300000001</v>
      </c>
      <c r="H17" s="150">
        <f t="shared" si="28"/>
        <v>8763199</v>
      </c>
      <c r="I17" s="150">
        <f t="shared" si="28"/>
        <v>603462.92000000004</v>
      </c>
      <c r="J17" s="150">
        <f t="shared" si="28"/>
        <v>0</v>
      </c>
      <c r="K17" s="150">
        <f t="shared" si="28"/>
        <v>11199243.719999999</v>
      </c>
      <c r="L17" s="150">
        <f t="shared" si="28"/>
        <v>177218.87999999998</v>
      </c>
      <c r="M17" s="150">
        <f t="shared" si="28"/>
        <v>611538.64</v>
      </c>
      <c r="N17" s="150">
        <f t="shared" si="28"/>
        <v>0</v>
      </c>
      <c r="O17" s="150">
        <f t="shared" si="28"/>
        <v>106589</v>
      </c>
      <c r="P17" s="150">
        <f t="shared" si="28"/>
        <v>100311.82999999999</v>
      </c>
      <c r="Q17" s="150">
        <f t="shared" si="28"/>
        <v>296682.90000000002</v>
      </c>
      <c r="R17" s="150">
        <f t="shared" si="28"/>
        <v>23455.99</v>
      </c>
      <c r="S17" s="150">
        <f t="shared" si="28"/>
        <v>1727358.9500000002</v>
      </c>
      <c r="T17" s="150">
        <f t="shared" si="28"/>
        <v>651141.52999999991</v>
      </c>
      <c r="U17" s="150">
        <f t="shared" si="28"/>
        <v>6313504.04</v>
      </c>
      <c r="V17" s="150">
        <f t="shared" si="28"/>
        <v>0</v>
      </c>
      <c r="W17" s="150">
        <f t="shared" si="28"/>
        <v>11776438.350000001</v>
      </c>
      <c r="X17" s="150">
        <f t="shared" ref="X17" si="29">+X4+X8+X9+X10+X11+X14+X15+X16</f>
        <v>378526.89</v>
      </c>
      <c r="Y17" s="150">
        <f t="shared" si="28"/>
        <v>213644.27000000002</v>
      </c>
      <c r="Z17" s="150">
        <f t="shared" si="28"/>
        <v>0</v>
      </c>
      <c r="AA17" s="150">
        <f t="shared" si="28"/>
        <v>12201.24</v>
      </c>
      <c r="AB17" s="245">
        <f>+AB4+AB8+AB9+AB10+AB11+AB14+AB15+AB16</f>
        <v>69445482.190000013</v>
      </c>
    </row>
    <row r="19" spans="1:28" x14ac:dyDescent="0.25">
      <c r="C19" s="149"/>
      <c r="AB19" s="149"/>
    </row>
    <row r="22" spans="1:28" x14ac:dyDescent="0.25">
      <c r="AB22" s="149"/>
    </row>
  </sheetData>
  <mergeCells count="5">
    <mergeCell ref="A17:B17"/>
    <mergeCell ref="A1:AB1"/>
    <mergeCell ref="A2:A3"/>
    <mergeCell ref="B2:B3"/>
    <mergeCell ref="AB2:AB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304</v>
      </c>
      <c r="C2" s="43">
        <v>2024</v>
      </c>
    </row>
    <row r="3" spans="2:5" ht="16.5" thickTop="1" thickBot="1" x14ac:dyDescent="0.3">
      <c r="B3" s="52" t="s">
        <v>305</v>
      </c>
      <c r="C3" s="53">
        <f>+C4+C9+C13+C21+C26+C27</f>
        <v>320537395.44000006</v>
      </c>
    </row>
    <row r="4" spans="2:5" ht="15.75" thickTop="1" x14ac:dyDescent="0.25">
      <c r="B4" s="10" t="s">
        <v>202</v>
      </c>
      <c r="C4" s="45">
        <f>+C5+C6+C8+C7</f>
        <v>199401861.23000002</v>
      </c>
    </row>
    <row r="5" spans="2:5" ht="15.75" x14ac:dyDescent="0.3">
      <c r="B5" s="11" t="s">
        <v>204</v>
      </c>
      <c r="C5" s="46">
        <f>+'PRIHODI I-IX 2025'!AB5</f>
        <v>83792682.600000009</v>
      </c>
    </row>
    <row r="6" spans="2:5" ht="15.75" x14ac:dyDescent="0.3">
      <c r="B6" s="11" t="s">
        <v>205</v>
      </c>
      <c r="C6" s="46">
        <f>+'PRIHODI I-IX 2025'!AB6</f>
        <v>71942695.520000011</v>
      </c>
    </row>
    <row r="7" spans="2:5" ht="15.75" x14ac:dyDescent="0.3">
      <c r="B7" s="11" t="s">
        <v>206</v>
      </c>
      <c r="C7" s="46">
        <f>+'PRIHODI I-IX 2025'!AB7</f>
        <v>22326212.209999997</v>
      </c>
    </row>
    <row r="8" spans="2:5" ht="15.75" x14ac:dyDescent="0.3">
      <c r="B8" s="11" t="s">
        <v>306</v>
      </c>
      <c r="C8" s="46">
        <f>+'PRIHODI I-IX 2025'!AB8</f>
        <v>21340270.900000002</v>
      </c>
    </row>
    <row r="9" spans="2:5" x14ac:dyDescent="0.25">
      <c r="B9" s="12" t="s">
        <v>123</v>
      </c>
      <c r="C9" s="47">
        <f>+C10+C11+C12</f>
        <v>4168681.8299999996</v>
      </c>
    </row>
    <row r="10" spans="2:5" ht="15.75" x14ac:dyDescent="0.3">
      <c r="B10" s="11" t="s">
        <v>210</v>
      </c>
      <c r="C10" s="46">
        <f>+'PRIHODI I-IX 2025'!AB10</f>
        <v>901906.61</v>
      </c>
    </row>
    <row r="11" spans="2:5" ht="15.75" x14ac:dyDescent="0.3">
      <c r="B11" s="11" t="s">
        <v>212</v>
      </c>
      <c r="C11" s="46">
        <f>+'PRIHODI I-IX 2025'!AB11</f>
        <v>2017498.0099999995</v>
      </c>
    </row>
    <row r="12" spans="2:5" ht="15.75" x14ac:dyDescent="0.3">
      <c r="B12" s="11" t="s">
        <v>213</v>
      </c>
      <c r="C12" s="46">
        <f>+'PRIHODI I-IX 2025'!AB12</f>
        <v>1249277.21</v>
      </c>
    </row>
    <row r="13" spans="2:5" x14ac:dyDescent="0.25">
      <c r="B13" s="12" t="s">
        <v>214</v>
      </c>
      <c r="C13" s="47">
        <f>+C14+C15+C16+C17+C18+C19+C20</f>
        <v>60502059.879999995</v>
      </c>
    </row>
    <row r="14" spans="2:5" ht="15.75" x14ac:dyDescent="0.3">
      <c r="B14" s="11" t="s">
        <v>307</v>
      </c>
      <c r="C14" s="46">
        <f>+'PRIHODI I-IX 2025'!AB14</f>
        <v>2610164.89</v>
      </c>
      <c r="E14" s="39"/>
    </row>
    <row r="15" spans="2:5" ht="15.75" x14ac:dyDescent="0.3">
      <c r="B15" s="11" t="s">
        <v>223</v>
      </c>
      <c r="C15" s="46">
        <f>+'PRIHODI I-IX 2025'!AB19</f>
        <v>7009481.9100000011</v>
      </c>
    </row>
    <row r="16" spans="2:5" ht="15.75" hidden="1" x14ac:dyDescent="0.3">
      <c r="B16" s="11" t="s">
        <v>308</v>
      </c>
      <c r="C16" s="46"/>
    </row>
    <row r="17" spans="2:6" ht="15.75" hidden="1" x14ac:dyDescent="0.3">
      <c r="B17" s="11" t="s">
        <v>309</v>
      </c>
      <c r="C17" s="46"/>
    </row>
    <row r="18" spans="2:6" ht="15.75" x14ac:dyDescent="0.3">
      <c r="B18" s="11" t="s">
        <v>310</v>
      </c>
      <c r="C18" s="46">
        <f>+'PRIHODI I-IX 2025'!AB26+'PRIHODI I-IX 2025'!AB27</f>
        <v>43036251.859999999</v>
      </c>
    </row>
    <row r="19" spans="2:6" ht="15.75" x14ac:dyDescent="0.3">
      <c r="B19" s="11" t="s">
        <v>311</v>
      </c>
      <c r="C19" s="46">
        <f>+'PRIHODI I-IX 2025'!AB28+'PRIHODI I-IX 2025'!AB29+'PRIHODI I-IX 2025'!AB30+'PRIHODI I-IX 2025'!AB31</f>
        <v>4479182.79</v>
      </c>
    </row>
    <row r="20" spans="2:6" ht="15.75" x14ac:dyDescent="0.3">
      <c r="B20" s="11" t="s">
        <v>54</v>
      </c>
      <c r="C20" s="46">
        <f>+'PRIHODI I-IX 2025'!AB32</f>
        <v>3366978.43</v>
      </c>
    </row>
    <row r="21" spans="2:6" x14ac:dyDescent="0.25">
      <c r="B21" s="12" t="s">
        <v>240</v>
      </c>
      <c r="C21" s="47">
        <f>+C22+C23+C24+C25</f>
        <v>10555143.390000001</v>
      </c>
    </row>
    <row r="22" spans="2:6" ht="15.75" x14ac:dyDescent="0.3">
      <c r="B22" s="11" t="s">
        <v>312</v>
      </c>
      <c r="C22" s="46">
        <f>+'PRIHODI I-IX 2025'!AB34</f>
        <v>2302458.2300000004</v>
      </c>
    </row>
    <row r="23" spans="2:6" ht="15.75" x14ac:dyDescent="0.3">
      <c r="B23" s="11" t="s">
        <v>244</v>
      </c>
      <c r="C23" s="46">
        <f>+'PRIHODI I-IX 2025'!AB35</f>
        <v>1741564.7500000002</v>
      </c>
    </row>
    <row r="24" spans="2:6" ht="15.75" x14ac:dyDescent="0.3">
      <c r="B24" s="11" t="s">
        <v>247</v>
      </c>
      <c r="C24" s="46">
        <f>+'PRIHODI I-IX 2025'!AB37</f>
        <v>2414558.6999999997</v>
      </c>
      <c r="F24" s="42"/>
    </row>
    <row r="25" spans="2:6" ht="15.75" x14ac:dyDescent="0.3">
      <c r="B25" s="13" t="s">
        <v>240</v>
      </c>
      <c r="C25" s="48">
        <f>+'PRIHODI I-IX 2025'!AB39</f>
        <v>4096561.71</v>
      </c>
    </row>
    <row r="26" spans="2:6" x14ac:dyDescent="0.25">
      <c r="B26" s="12" t="s">
        <v>332</v>
      </c>
      <c r="C26" s="47">
        <f>+'PRIHODI I-IX 2025'!AB51+'PRIHODI I-IX 2025'!AB57</f>
        <v>45696345.979999997</v>
      </c>
    </row>
    <row r="27" spans="2:6" ht="15.75" thickBot="1" x14ac:dyDescent="0.3">
      <c r="B27" s="40" t="s">
        <v>263</v>
      </c>
      <c r="C27" s="49">
        <f>+'PRIHODI I-IX 2025'!AB48</f>
        <v>213303.13</v>
      </c>
    </row>
    <row r="28" spans="2:6" ht="16.5" thickTop="1" thickBot="1" x14ac:dyDescent="0.3">
      <c r="B28" s="54" t="s">
        <v>313</v>
      </c>
      <c r="C28" s="53">
        <f>+C29+C57+C58+C59+C60</f>
        <v>310111892.37000006</v>
      </c>
    </row>
    <row r="29" spans="2:6" ht="15.75" thickTop="1" x14ac:dyDescent="0.25">
      <c r="B29" s="10" t="s">
        <v>28</v>
      </c>
      <c r="C29" s="45">
        <f>+C30+C36+C37+C38+C39+C40+C41+C42+C43+C44+C45+C53</f>
        <v>195762846.92000002</v>
      </c>
    </row>
    <row r="30" spans="2:6" x14ac:dyDescent="0.25">
      <c r="B30" s="12" t="s">
        <v>29</v>
      </c>
      <c r="C30" s="47">
        <f>SUM(C31:C35)</f>
        <v>55057435.289999999</v>
      </c>
    </row>
    <row r="31" spans="2:6" ht="15.75" x14ac:dyDescent="0.3">
      <c r="B31" s="15" t="s">
        <v>31</v>
      </c>
      <c r="C31" s="46">
        <f>+'RASHODI I-IX 2025'!AB6</f>
        <v>46062127.089999996</v>
      </c>
    </row>
    <row r="32" spans="2:6" ht="15.75" x14ac:dyDescent="0.3">
      <c r="B32" s="15" t="s">
        <v>33</v>
      </c>
      <c r="C32" s="46">
        <f>+'RASHODI I-IX 2025'!AB7</f>
        <v>2243219.350000001</v>
      </c>
    </row>
    <row r="33" spans="2:5" ht="15.75" x14ac:dyDescent="0.3">
      <c r="B33" s="15" t="s">
        <v>35</v>
      </c>
      <c r="C33" s="46">
        <f>+'RASHODI I-IX 2025'!AB8</f>
        <v>5104830.0599999987</v>
      </c>
    </row>
    <row r="34" spans="2:5" ht="15.75" x14ac:dyDescent="0.3">
      <c r="B34" s="15" t="s">
        <v>37</v>
      </c>
      <c r="C34" s="46">
        <f>+'RASHODI I-IX 2025'!AB9</f>
        <v>1355775.3300000003</v>
      </c>
    </row>
    <row r="35" spans="2:5" ht="15.75" x14ac:dyDescent="0.3">
      <c r="B35" s="15" t="s">
        <v>39</v>
      </c>
      <c r="C35" s="46">
        <f>+'RASHODI I-IX 2025'!AB10</f>
        <v>291483.45999999996</v>
      </c>
    </row>
    <row r="36" spans="2:5" ht="15.75" x14ac:dyDescent="0.3">
      <c r="B36" s="16" t="s">
        <v>40</v>
      </c>
      <c r="C36" s="46">
        <f>+'RASHODI I-IX 2025'!AB11</f>
        <v>3880004.1099999994</v>
      </c>
      <c r="E36" s="39"/>
    </row>
    <row r="37" spans="2:5" ht="15.75" x14ac:dyDescent="0.3">
      <c r="B37" s="16" t="s">
        <v>55</v>
      </c>
      <c r="C37" s="46">
        <f>+'RASHODI I-IX 2025'!AB19</f>
        <v>6298503.6700000018</v>
      </c>
    </row>
    <row r="38" spans="2:5" ht="15.75" x14ac:dyDescent="0.3">
      <c r="B38" s="16" t="s">
        <v>68</v>
      </c>
      <c r="C38" s="46">
        <f>+'RASHODI I-IX 2025'!AB26</f>
        <v>8482480.540000001</v>
      </c>
      <c r="E38" s="41"/>
    </row>
    <row r="39" spans="2:5" ht="15.75" x14ac:dyDescent="0.3">
      <c r="B39" s="16" t="s">
        <v>87</v>
      </c>
      <c r="C39" s="46">
        <f>+'RASHODI I-IX 2025'!AB36</f>
        <v>5768667.3900000006</v>
      </c>
    </row>
    <row r="40" spans="2:5" ht="15.75" x14ac:dyDescent="0.3">
      <c r="B40" s="16" t="s">
        <v>96</v>
      </c>
      <c r="C40" s="46">
        <f>+'RASHODI I-IX 2025'!AB41</f>
        <v>1567702.48</v>
      </c>
    </row>
    <row r="41" spans="2:5" ht="15.75" x14ac:dyDescent="0.3">
      <c r="B41" s="16" t="s">
        <v>101</v>
      </c>
      <c r="C41" s="46">
        <f>+'RASHODI I-IX 2025'!AB44</f>
        <v>473118.17</v>
      </c>
    </row>
    <row r="42" spans="2:5" ht="15.75" x14ac:dyDescent="0.3">
      <c r="B42" s="16" t="s">
        <v>108</v>
      </c>
      <c r="C42" s="46">
        <f>+'RASHODI I-IX 2025'!AB48</f>
        <v>3860670.2800000003</v>
      </c>
    </row>
    <row r="43" spans="2:5" ht="15.75" x14ac:dyDescent="0.3">
      <c r="B43" s="16" t="s">
        <v>109</v>
      </c>
      <c r="C43" s="46">
        <f>+'RASHODI I-IX 2025'!AB49</f>
        <v>10487520.17</v>
      </c>
    </row>
    <row r="44" spans="2:5" x14ac:dyDescent="0.25">
      <c r="B44" s="12" t="s">
        <v>126</v>
      </c>
      <c r="C44" s="47">
        <f>+'RASHODI I-IX 2025'!AB58</f>
        <v>3000816.29</v>
      </c>
    </row>
    <row r="45" spans="2:5" s="63" customFormat="1" x14ac:dyDescent="0.25">
      <c r="B45" s="93" t="s">
        <v>333</v>
      </c>
      <c r="C45" s="94">
        <f>SUM(C46:C52)</f>
        <v>47362413.790000007</v>
      </c>
      <c r="E45" s="76"/>
    </row>
    <row r="46" spans="2:5" ht="15.75" x14ac:dyDescent="0.3">
      <c r="B46" s="17" t="s">
        <v>133</v>
      </c>
      <c r="C46" s="46">
        <f>+'RASHODI I-IX 2025'!AB63</f>
        <v>22271241.090000004</v>
      </c>
    </row>
    <row r="47" spans="2:5" ht="15.75" x14ac:dyDescent="0.3">
      <c r="B47" s="17" t="s">
        <v>135</v>
      </c>
      <c r="C47" s="46">
        <f>+'RASHODI I-IX 2025'!AB64</f>
        <v>1196062.25</v>
      </c>
    </row>
    <row r="48" spans="2:5" ht="15.75" x14ac:dyDescent="0.3">
      <c r="B48" s="17" t="s">
        <v>137</v>
      </c>
      <c r="C48" s="46">
        <f>+'RASHODI I-IX 2025'!AB65</f>
        <v>3217521.08</v>
      </c>
    </row>
    <row r="49" spans="2:6" ht="15.75" x14ac:dyDescent="0.3">
      <c r="B49" s="17" t="s">
        <v>139</v>
      </c>
      <c r="C49" s="46">
        <f>+'RASHODI I-IX 2025'!AB66</f>
        <v>1482387.54</v>
      </c>
    </row>
    <row r="50" spans="2:6" ht="15.75" x14ac:dyDescent="0.3">
      <c r="B50" s="17" t="s">
        <v>143</v>
      </c>
      <c r="C50" s="46">
        <f>+'RASHODI I-IX 2025'!AB68</f>
        <v>4208997.5599999996</v>
      </c>
    </row>
    <row r="51" spans="2:6" ht="15.75" x14ac:dyDescent="0.3">
      <c r="B51" s="17" t="s">
        <v>145</v>
      </c>
      <c r="C51" s="46">
        <f>+'RASHODI I-IX 2025'!AB69</f>
        <v>14029826.030000003</v>
      </c>
    </row>
    <row r="52" spans="2:6" ht="15.75" x14ac:dyDescent="0.3">
      <c r="B52" s="17" t="s">
        <v>146</v>
      </c>
      <c r="C52" s="46">
        <f>+'RASHODI I-IX 2025'!AB61+'RASHODI I-IX 2025'!AB62+'RASHODI I-IX 2025'!AB67</f>
        <v>956378.24000000011</v>
      </c>
    </row>
    <row r="53" spans="2:6" x14ac:dyDescent="0.25">
      <c r="B53" s="12" t="s">
        <v>146</v>
      </c>
      <c r="C53" s="47">
        <f>SUM(C54:C56)</f>
        <v>49523514.74000001</v>
      </c>
    </row>
    <row r="54" spans="2:6" ht="15.75" x14ac:dyDescent="0.3">
      <c r="B54" s="17" t="s">
        <v>148</v>
      </c>
      <c r="C54" s="46">
        <f>+'RASHODI I-IX 2025'!AB71</f>
        <v>61739.12</v>
      </c>
    </row>
    <row r="55" spans="2:6" ht="15.75" x14ac:dyDescent="0.3">
      <c r="B55" s="17" t="s">
        <v>150</v>
      </c>
      <c r="C55" s="46">
        <f>+'RASHODI I-IX 2025'!AB72</f>
        <v>304938.47000000003</v>
      </c>
    </row>
    <row r="56" spans="2:6" ht="15.75" x14ac:dyDescent="0.3">
      <c r="B56" s="17" t="s">
        <v>314</v>
      </c>
      <c r="C56" s="46">
        <f>+'RASHODI I-IX 2025'!AB73</f>
        <v>49156837.150000006</v>
      </c>
    </row>
    <row r="57" spans="2:6" x14ac:dyDescent="0.25">
      <c r="B57" s="12" t="s">
        <v>154</v>
      </c>
      <c r="C57" s="47">
        <f>+'RASHODI I-IX 2025'!AB75</f>
        <v>92061820.070000023</v>
      </c>
    </row>
    <row r="58" spans="2:6" x14ac:dyDescent="0.25">
      <c r="B58" s="12" t="s">
        <v>169</v>
      </c>
      <c r="C58" s="47">
        <f>+'RASHODI I-IX 2025'!AB84</f>
        <v>95583.6</v>
      </c>
    </row>
    <row r="59" spans="2:6" x14ac:dyDescent="0.25">
      <c r="B59" s="18" t="s">
        <v>195</v>
      </c>
      <c r="C59" s="50">
        <f>+'RASHODI I-IX 2025'!AB99</f>
        <v>2400829.4200000004</v>
      </c>
    </row>
    <row r="60" spans="2:6" ht="16.5" thickBot="1" x14ac:dyDescent="0.35">
      <c r="B60" s="17" t="s">
        <v>190</v>
      </c>
      <c r="C60" s="46">
        <f>+'RASHODI I-IX 2025'!AB96</f>
        <v>19790812.359999999</v>
      </c>
    </row>
    <row r="61" spans="2:6" ht="16.5" thickTop="1" thickBot="1" x14ac:dyDescent="0.3">
      <c r="B61" s="14" t="s">
        <v>335</v>
      </c>
      <c r="C61" s="44">
        <f>+C3-C28</f>
        <v>10425503.069999993</v>
      </c>
      <c r="E61" s="96">
        <f>+C61+C65+C69+C72+C73</f>
        <v>25895449.569999993</v>
      </c>
      <c r="F61" t="s">
        <v>337</v>
      </c>
    </row>
    <row r="62" spans="2:6" ht="16.5" thickTop="1" thickBot="1" x14ac:dyDescent="0.3">
      <c r="B62" s="14" t="s">
        <v>334</v>
      </c>
      <c r="C62" s="44">
        <f>+C61-C66-C70</f>
        <v>-1732128.4100000069</v>
      </c>
      <c r="E62" s="96">
        <f>+C66+C70</f>
        <v>12157631.48</v>
      </c>
      <c r="F62" s="96" t="s">
        <v>338</v>
      </c>
    </row>
    <row r="63" spans="2:6" ht="16.5" thickTop="1" thickBot="1" x14ac:dyDescent="0.3">
      <c r="B63" s="14" t="s">
        <v>315</v>
      </c>
      <c r="C63" s="44">
        <f>+C65+C69+C72+C73+C74</f>
        <v>1732128.4100000057</v>
      </c>
      <c r="E63" s="97">
        <f>+E61-E62</f>
        <v>13737818.089999992</v>
      </c>
      <c r="F63" t="s">
        <v>339</v>
      </c>
    </row>
    <row r="64" spans="2:6" ht="15.75" thickTop="1" x14ac:dyDescent="0.25">
      <c r="B64" s="10" t="s">
        <v>316</v>
      </c>
      <c r="C64" s="45">
        <f>+C65-C66-C67</f>
        <v>-7694045.7999999998</v>
      </c>
    </row>
    <row r="65" spans="2:5" ht="15.75" x14ac:dyDescent="0.3">
      <c r="B65" s="17" t="s">
        <v>317</v>
      </c>
      <c r="C65" s="46">
        <f>+'PRIHODI I-IX 2025'!AB61</f>
        <v>2722436.54</v>
      </c>
    </row>
    <row r="66" spans="2:5" ht="15.75" x14ac:dyDescent="0.3">
      <c r="B66" s="17" t="s">
        <v>179</v>
      </c>
      <c r="C66" s="46">
        <f>+'RASHODI I-IX 2025'!AB91</f>
        <v>10416482.34</v>
      </c>
    </row>
    <row r="67" spans="2:5" ht="15.75" x14ac:dyDescent="0.3">
      <c r="B67" s="17" t="s">
        <v>187</v>
      </c>
      <c r="C67" s="46">
        <f>+'RASHODI I-IX 2025'!AB94</f>
        <v>0</v>
      </c>
    </row>
    <row r="68" spans="2:5" x14ac:dyDescent="0.25">
      <c r="B68" s="12" t="s">
        <v>318</v>
      </c>
      <c r="C68" s="47">
        <f>+C69-C70-C71</f>
        <v>-1462392.72</v>
      </c>
    </row>
    <row r="69" spans="2:5" ht="15.75" x14ac:dyDescent="0.3">
      <c r="B69" s="11" t="s">
        <v>319</v>
      </c>
      <c r="C69" s="46">
        <f>+'PRIHODI I-IX 2025'!AB62</f>
        <v>278756.42</v>
      </c>
    </row>
    <row r="70" spans="2:5" ht="15.75" x14ac:dyDescent="0.3">
      <c r="B70" s="15" t="s">
        <v>179</v>
      </c>
      <c r="C70" s="46">
        <f>+'RASHODI I-IX 2025'!AB92</f>
        <v>1741149.14</v>
      </c>
    </row>
    <row r="71" spans="2:5" ht="15.75" x14ac:dyDescent="0.3">
      <c r="B71" s="15" t="s">
        <v>189</v>
      </c>
      <c r="C71" s="46">
        <f>+'RASHODI I-IX 2025'!AB95</f>
        <v>0</v>
      </c>
    </row>
    <row r="72" spans="2:5" x14ac:dyDescent="0.25">
      <c r="B72" s="12" t="s">
        <v>320</v>
      </c>
      <c r="C72" s="47">
        <f>+'PRIHODI I-IX 2025'!AB40</f>
        <v>5106308.3500000006</v>
      </c>
    </row>
    <row r="73" spans="2:5" ht="15.75" thickBot="1" x14ac:dyDescent="0.3">
      <c r="B73" s="18" t="s">
        <v>273</v>
      </c>
      <c r="C73" s="50">
        <f>+'PRIHODI I-IX 2025'!AB55+'PRIHODI I-IX 2025'!AB56</f>
        <v>7362445.1900000004</v>
      </c>
      <c r="E73" s="98" t="s">
        <v>336</v>
      </c>
    </row>
    <row r="74" spans="2:5" ht="16.5" thickTop="1" thickBot="1" x14ac:dyDescent="0.3">
      <c r="B74" s="19" t="s">
        <v>321</v>
      </c>
      <c r="C74" s="44">
        <f>-C62-C65-C69-C72-C73</f>
        <v>-13737818.089999994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340</v>
      </c>
      <c r="B2" s="105"/>
      <c r="C2" s="261">
        <v>7034000000</v>
      </c>
      <c r="D2" s="262"/>
      <c r="E2" s="261">
        <v>7034000000</v>
      </c>
      <c r="F2" s="262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59" t="s">
        <v>406</v>
      </c>
      <c r="B4" s="263" t="s">
        <v>341</v>
      </c>
      <c r="C4" s="265" t="s">
        <v>409</v>
      </c>
      <c r="D4" s="266"/>
      <c r="E4" s="267" t="s">
        <v>408</v>
      </c>
      <c r="F4" s="268"/>
    </row>
    <row r="5" spans="1:16375" ht="23.25" customHeight="1" x14ac:dyDescent="0.2">
      <c r="A5" s="260"/>
      <c r="B5" s="264"/>
      <c r="C5" s="132" t="s">
        <v>342</v>
      </c>
      <c r="D5" s="133" t="s">
        <v>410</v>
      </c>
      <c r="E5" s="132" t="s">
        <v>342</v>
      </c>
      <c r="F5" s="133" t="s">
        <v>343</v>
      </c>
    </row>
    <row r="6" spans="1:16375" s="108" customFormat="1" ht="15" customHeight="1" x14ac:dyDescent="0.3">
      <c r="A6" s="134"/>
      <c r="B6" s="137" t="s">
        <v>344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345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346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347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348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349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350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351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352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353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354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355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356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357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358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359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360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361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362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363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407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364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365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366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367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368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369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366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370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371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372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373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374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375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376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377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378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379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380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381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382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383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384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385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386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387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388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389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390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391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392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393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394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395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396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397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398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386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399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400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401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402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403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370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404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405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76" t="s">
        <v>325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7"/>
      <c r="N1" s="277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  <c r="AG1" s="276"/>
      <c r="AH1" s="276"/>
      <c r="AI1" s="276"/>
      <c r="AJ1" s="276"/>
      <c r="AK1" s="276"/>
      <c r="AL1" s="276"/>
      <c r="AM1" s="276"/>
      <c r="AN1" s="276"/>
      <c r="AO1" s="276"/>
      <c r="AP1" s="276"/>
      <c r="AQ1" s="276"/>
      <c r="AR1" s="276"/>
      <c r="AS1" s="276"/>
      <c r="AT1" s="276"/>
      <c r="AU1" s="276"/>
      <c r="AV1" s="276"/>
      <c r="AW1" s="276"/>
      <c r="AX1" s="276"/>
      <c r="AY1" s="278"/>
      <c r="AZ1" s="278"/>
    </row>
    <row r="2" spans="1:187" ht="15" customHeight="1" x14ac:dyDescent="0.25">
      <c r="A2" s="279" t="s">
        <v>411</v>
      </c>
      <c r="B2" s="279" t="s">
        <v>412</v>
      </c>
      <c r="C2" s="273" t="s">
        <v>2</v>
      </c>
      <c r="D2" s="273"/>
      <c r="E2" s="273" t="s">
        <v>3</v>
      </c>
      <c r="F2" s="273"/>
      <c r="G2" s="273" t="s">
        <v>4</v>
      </c>
      <c r="H2" s="273"/>
      <c r="I2" s="273" t="s">
        <v>5</v>
      </c>
      <c r="J2" s="273"/>
      <c r="K2" s="273" t="s">
        <v>6</v>
      </c>
      <c r="L2" s="273"/>
      <c r="M2" s="280" t="s">
        <v>22</v>
      </c>
      <c r="N2" s="281"/>
      <c r="O2" s="273" t="s">
        <v>7</v>
      </c>
      <c r="P2" s="273"/>
      <c r="Q2" s="273" t="s">
        <v>8</v>
      </c>
      <c r="R2" s="273"/>
      <c r="S2" s="273" t="s">
        <v>9</v>
      </c>
      <c r="T2" s="273"/>
      <c r="U2" s="273" t="s">
        <v>10</v>
      </c>
      <c r="V2" s="273"/>
      <c r="W2" s="273" t="s">
        <v>11</v>
      </c>
      <c r="X2" s="273"/>
      <c r="Y2" s="273" t="s">
        <v>12</v>
      </c>
      <c r="Z2" s="273"/>
      <c r="AA2" s="273" t="s">
        <v>13</v>
      </c>
      <c r="AB2" s="273"/>
      <c r="AC2" s="273" t="s">
        <v>14</v>
      </c>
      <c r="AD2" s="273"/>
      <c r="AE2" s="273" t="s">
        <v>15</v>
      </c>
      <c r="AF2" s="273"/>
      <c r="AG2" s="273" t="s">
        <v>16</v>
      </c>
      <c r="AH2" s="273"/>
      <c r="AI2" s="273" t="s">
        <v>17</v>
      </c>
      <c r="AJ2" s="273"/>
      <c r="AK2" s="273" t="s">
        <v>18</v>
      </c>
      <c r="AL2" s="273"/>
      <c r="AM2" s="273" t="s">
        <v>19</v>
      </c>
      <c r="AN2" s="273"/>
      <c r="AO2" s="273" t="s">
        <v>20</v>
      </c>
      <c r="AP2" s="273"/>
      <c r="AQ2" s="273" t="s">
        <v>21</v>
      </c>
      <c r="AR2" s="273"/>
      <c r="AS2" s="273" t="s">
        <v>23</v>
      </c>
      <c r="AT2" s="273"/>
      <c r="AU2" s="273" t="s">
        <v>24</v>
      </c>
      <c r="AV2" s="273"/>
      <c r="AW2" s="274" t="s">
        <v>25</v>
      </c>
      <c r="AX2" s="275"/>
      <c r="AY2" s="274" t="s">
        <v>326</v>
      </c>
      <c r="AZ2" s="275"/>
      <c r="BA2" s="269" t="s">
        <v>413</v>
      </c>
      <c r="BB2" s="269" t="s">
        <v>414</v>
      </c>
      <c r="BF2" s="145">
        <v>7034000000</v>
      </c>
    </row>
    <row r="3" spans="1:187" ht="38.25" customHeight="1" x14ac:dyDescent="0.25">
      <c r="A3" s="279"/>
      <c r="B3" s="279"/>
      <c r="C3" s="143" t="s">
        <v>328</v>
      </c>
      <c r="D3" s="143" t="s">
        <v>329</v>
      </c>
      <c r="E3" s="143" t="s">
        <v>328</v>
      </c>
      <c r="F3" s="143" t="s">
        <v>329</v>
      </c>
      <c r="G3" s="143" t="s">
        <v>328</v>
      </c>
      <c r="H3" s="143" t="s">
        <v>329</v>
      </c>
      <c r="I3" s="143" t="s">
        <v>328</v>
      </c>
      <c r="J3" s="143" t="s">
        <v>329</v>
      </c>
      <c r="K3" s="143" t="s">
        <v>328</v>
      </c>
      <c r="L3" s="143" t="s">
        <v>329</v>
      </c>
      <c r="M3" s="139" t="s">
        <v>328</v>
      </c>
      <c r="N3" s="139" t="s">
        <v>329</v>
      </c>
      <c r="O3" s="143" t="s">
        <v>328</v>
      </c>
      <c r="P3" s="143" t="s">
        <v>329</v>
      </c>
      <c r="Q3" s="143" t="s">
        <v>328</v>
      </c>
      <c r="R3" s="143" t="s">
        <v>329</v>
      </c>
      <c r="S3" s="143" t="s">
        <v>328</v>
      </c>
      <c r="T3" s="143" t="s">
        <v>329</v>
      </c>
      <c r="U3" s="143" t="s">
        <v>328</v>
      </c>
      <c r="V3" s="143" t="s">
        <v>329</v>
      </c>
      <c r="W3" s="143" t="s">
        <v>328</v>
      </c>
      <c r="X3" s="143" t="s">
        <v>329</v>
      </c>
      <c r="Y3" s="143" t="s">
        <v>328</v>
      </c>
      <c r="Z3" s="143" t="s">
        <v>329</v>
      </c>
      <c r="AA3" s="143" t="s">
        <v>328</v>
      </c>
      <c r="AB3" s="143" t="s">
        <v>329</v>
      </c>
      <c r="AC3" s="143" t="s">
        <v>328</v>
      </c>
      <c r="AD3" s="143" t="s">
        <v>329</v>
      </c>
      <c r="AE3" s="143" t="s">
        <v>328</v>
      </c>
      <c r="AF3" s="143" t="s">
        <v>329</v>
      </c>
      <c r="AG3" s="143" t="s">
        <v>328</v>
      </c>
      <c r="AH3" s="143" t="s">
        <v>329</v>
      </c>
      <c r="AI3" s="143" t="s">
        <v>328</v>
      </c>
      <c r="AJ3" s="143" t="s">
        <v>329</v>
      </c>
      <c r="AK3" s="143" t="s">
        <v>328</v>
      </c>
      <c r="AL3" s="143" t="s">
        <v>329</v>
      </c>
      <c r="AM3" s="143" t="s">
        <v>328</v>
      </c>
      <c r="AN3" s="143" t="s">
        <v>329</v>
      </c>
      <c r="AO3" s="143" t="s">
        <v>328</v>
      </c>
      <c r="AP3" s="143" t="s">
        <v>329</v>
      </c>
      <c r="AQ3" s="143" t="s">
        <v>328</v>
      </c>
      <c r="AR3" s="143" t="s">
        <v>329</v>
      </c>
      <c r="AS3" s="143" t="s">
        <v>328</v>
      </c>
      <c r="AT3" s="143" t="s">
        <v>329</v>
      </c>
      <c r="AU3" s="143" t="s">
        <v>328</v>
      </c>
      <c r="AV3" s="143" t="s">
        <v>329</v>
      </c>
      <c r="AW3" s="143" t="s">
        <v>328</v>
      </c>
      <c r="AX3" s="143" t="s">
        <v>329</v>
      </c>
      <c r="AY3" s="143" t="s">
        <v>328</v>
      </c>
      <c r="AZ3" s="143" t="s">
        <v>329</v>
      </c>
      <c r="BA3" s="270"/>
      <c r="BB3" s="270"/>
    </row>
    <row r="4" spans="1:187" x14ac:dyDescent="0.25">
      <c r="A4" s="5" t="s">
        <v>27</v>
      </c>
      <c r="B4" s="55" t="s">
        <v>415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416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295</v>
      </c>
      <c r="B6" s="3" t="s">
        <v>422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297</v>
      </c>
      <c r="B7" s="3" t="s">
        <v>423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417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415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416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295</v>
      </c>
      <c r="B11" s="3" t="s">
        <v>422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297</v>
      </c>
      <c r="B12" s="3" t="s">
        <v>423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71" t="s">
        <v>418</v>
      </c>
      <c r="B14" s="272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419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420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71" t="s">
        <v>421</v>
      </c>
      <c r="B17" s="272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324</v>
      </c>
      <c r="AN21" t="s">
        <v>324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324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76" t="s">
        <v>284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7"/>
      <c r="N1" s="277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6"/>
      <c r="AD1" s="276"/>
      <c r="AE1" s="276"/>
      <c r="AF1" s="276"/>
      <c r="AG1" s="276"/>
      <c r="AH1" s="276"/>
      <c r="AI1" s="276"/>
      <c r="AJ1" s="276"/>
      <c r="AK1" s="276"/>
      <c r="AL1" s="276"/>
      <c r="AM1" s="276"/>
      <c r="AN1" s="276"/>
      <c r="AO1" s="276"/>
      <c r="AP1" s="276"/>
      <c r="AQ1" s="276"/>
      <c r="AR1" s="276"/>
      <c r="AS1" s="276"/>
      <c r="AT1" s="276"/>
      <c r="AU1" s="276"/>
      <c r="AV1" s="276"/>
      <c r="AW1" s="276"/>
      <c r="AX1" s="276"/>
      <c r="AY1" s="276"/>
      <c r="AZ1" s="276"/>
      <c r="BA1" s="278"/>
      <c r="BB1" s="278"/>
    </row>
    <row r="2" spans="1:54" x14ac:dyDescent="0.25">
      <c r="A2" s="279" t="s">
        <v>411</v>
      </c>
      <c r="B2" s="279" t="s">
        <v>427</v>
      </c>
      <c r="C2" s="273" t="s">
        <v>2</v>
      </c>
      <c r="D2" s="273"/>
      <c r="E2" s="273" t="s">
        <v>3</v>
      </c>
      <c r="F2" s="273"/>
      <c r="G2" s="273" t="s">
        <v>4</v>
      </c>
      <c r="H2" s="273"/>
      <c r="I2" s="273" t="s">
        <v>5</v>
      </c>
      <c r="J2" s="273"/>
      <c r="K2" s="273" t="s">
        <v>6</v>
      </c>
      <c r="L2" s="273"/>
      <c r="M2" s="273" t="s">
        <v>22</v>
      </c>
      <c r="N2" s="273"/>
      <c r="O2" s="273" t="s">
        <v>7</v>
      </c>
      <c r="P2" s="273"/>
      <c r="Q2" s="273" t="s">
        <v>8</v>
      </c>
      <c r="R2" s="273"/>
      <c r="S2" s="273" t="s">
        <v>9</v>
      </c>
      <c r="T2" s="273"/>
      <c r="U2" s="273" t="s">
        <v>10</v>
      </c>
      <c r="V2" s="273"/>
      <c r="W2" s="273" t="s">
        <v>11</v>
      </c>
      <c r="X2" s="273"/>
      <c r="Y2" s="273" t="s">
        <v>12</v>
      </c>
      <c r="Z2" s="273"/>
      <c r="AA2" s="273" t="s">
        <v>13</v>
      </c>
      <c r="AB2" s="273"/>
      <c r="AC2" s="273" t="s">
        <v>14</v>
      </c>
      <c r="AD2" s="273"/>
      <c r="AE2" s="273" t="s">
        <v>15</v>
      </c>
      <c r="AF2" s="273"/>
      <c r="AG2" s="273" t="s">
        <v>16</v>
      </c>
      <c r="AH2" s="273"/>
      <c r="AI2" s="273" t="s">
        <v>17</v>
      </c>
      <c r="AJ2" s="273"/>
      <c r="AK2" s="273" t="s">
        <v>18</v>
      </c>
      <c r="AL2" s="273"/>
      <c r="AM2" s="273" t="s">
        <v>19</v>
      </c>
      <c r="AN2" s="273"/>
      <c r="AO2" s="273" t="s">
        <v>20</v>
      </c>
      <c r="AP2" s="273"/>
      <c r="AQ2" s="273" t="s">
        <v>21</v>
      </c>
      <c r="AR2" s="273"/>
      <c r="AS2" s="273" t="s">
        <v>23</v>
      </c>
      <c r="AT2" s="273"/>
      <c r="AU2" s="273" t="s">
        <v>24</v>
      </c>
      <c r="AV2" s="273"/>
      <c r="AW2" s="274" t="s">
        <v>25</v>
      </c>
      <c r="AX2" s="275"/>
      <c r="AY2" s="284" t="s">
        <v>326</v>
      </c>
      <c r="AZ2" s="285"/>
      <c r="BA2" s="286" t="s">
        <v>424</v>
      </c>
      <c r="BB2" s="282" t="s">
        <v>425</v>
      </c>
    </row>
    <row r="3" spans="1:54" ht="51" x14ac:dyDescent="0.25">
      <c r="A3" s="279"/>
      <c r="B3" s="279"/>
      <c r="C3" s="143" t="s">
        <v>330</v>
      </c>
      <c r="D3" s="143" t="s">
        <v>331</v>
      </c>
      <c r="E3" s="143" t="s">
        <v>330</v>
      </c>
      <c r="F3" s="143" t="s">
        <v>331</v>
      </c>
      <c r="G3" s="143" t="s">
        <v>330</v>
      </c>
      <c r="H3" s="143" t="s">
        <v>331</v>
      </c>
      <c r="I3" s="143" t="s">
        <v>330</v>
      </c>
      <c r="J3" s="143" t="s">
        <v>331</v>
      </c>
      <c r="K3" s="143" t="s">
        <v>330</v>
      </c>
      <c r="L3" s="143" t="s">
        <v>331</v>
      </c>
      <c r="M3" s="143" t="s">
        <v>330</v>
      </c>
      <c r="N3" s="143" t="s">
        <v>331</v>
      </c>
      <c r="O3" s="143" t="s">
        <v>330</v>
      </c>
      <c r="P3" s="143" t="s">
        <v>331</v>
      </c>
      <c r="Q3" s="143" t="s">
        <v>330</v>
      </c>
      <c r="R3" s="143" t="s">
        <v>331</v>
      </c>
      <c r="S3" s="143" t="s">
        <v>330</v>
      </c>
      <c r="T3" s="143" t="s">
        <v>331</v>
      </c>
      <c r="U3" s="143" t="s">
        <v>330</v>
      </c>
      <c r="V3" s="143" t="s">
        <v>331</v>
      </c>
      <c r="W3" s="143" t="s">
        <v>330</v>
      </c>
      <c r="X3" s="143" t="s">
        <v>331</v>
      </c>
      <c r="Y3" s="143" t="s">
        <v>330</v>
      </c>
      <c r="Z3" s="143" t="s">
        <v>331</v>
      </c>
      <c r="AA3" s="143" t="s">
        <v>330</v>
      </c>
      <c r="AB3" s="143" t="s">
        <v>331</v>
      </c>
      <c r="AC3" s="143" t="s">
        <v>330</v>
      </c>
      <c r="AD3" s="143" t="s">
        <v>331</v>
      </c>
      <c r="AE3" s="143" t="s">
        <v>330</v>
      </c>
      <c r="AF3" s="143" t="s">
        <v>331</v>
      </c>
      <c r="AG3" s="143" t="s">
        <v>330</v>
      </c>
      <c r="AH3" s="143" t="s">
        <v>331</v>
      </c>
      <c r="AI3" s="143" t="s">
        <v>330</v>
      </c>
      <c r="AJ3" s="143" t="s">
        <v>331</v>
      </c>
      <c r="AK3" s="143" t="s">
        <v>330</v>
      </c>
      <c r="AL3" s="143" t="s">
        <v>331</v>
      </c>
      <c r="AM3" s="143" t="s">
        <v>330</v>
      </c>
      <c r="AN3" s="143" t="s">
        <v>331</v>
      </c>
      <c r="AO3" s="143" t="s">
        <v>330</v>
      </c>
      <c r="AP3" s="143" t="s">
        <v>331</v>
      </c>
      <c r="AQ3" s="143" t="s">
        <v>330</v>
      </c>
      <c r="AR3" s="143" t="s">
        <v>331</v>
      </c>
      <c r="AS3" s="143" t="s">
        <v>330</v>
      </c>
      <c r="AT3" s="143" t="s">
        <v>331</v>
      </c>
      <c r="AU3" s="143" t="s">
        <v>330</v>
      </c>
      <c r="AV3" s="143" t="s">
        <v>331</v>
      </c>
      <c r="AW3" s="143" t="s">
        <v>330</v>
      </c>
      <c r="AX3" s="143" t="s">
        <v>331</v>
      </c>
      <c r="AY3" s="143" t="s">
        <v>330</v>
      </c>
      <c r="AZ3" s="143" t="s">
        <v>331</v>
      </c>
      <c r="BA3" s="270"/>
      <c r="BB3" s="283"/>
    </row>
    <row r="4" spans="1:54" x14ac:dyDescent="0.25">
      <c r="A4" s="6" t="s">
        <v>27</v>
      </c>
      <c r="B4" s="2" t="s">
        <v>428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429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430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431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432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433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434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435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295</v>
      </c>
      <c r="B12" s="7" t="s">
        <v>436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297</v>
      </c>
      <c r="B13" s="3" t="s">
        <v>437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299</v>
      </c>
      <c r="B14" s="2" t="s">
        <v>438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301</v>
      </c>
      <c r="B15" s="2" t="s">
        <v>439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323</v>
      </c>
      <c r="B16" s="2" t="s">
        <v>440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79" t="s">
        <v>426</v>
      </c>
      <c r="B17" s="279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324</v>
      </c>
    </row>
    <row r="21" spans="1:59" x14ac:dyDescent="0.25">
      <c r="L21" t="s">
        <v>324</v>
      </c>
      <c r="AF21" t="s">
        <v>324</v>
      </c>
      <c r="AN21" t="s">
        <v>324</v>
      </c>
      <c r="AT21" s="78"/>
    </row>
    <row r="23" spans="1:59" x14ac:dyDescent="0.25">
      <c r="T23" t="s">
        <v>324</v>
      </c>
    </row>
    <row r="24" spans="1:59" x14ac:dyDescent="0.25">
      <c r="AO24" t="s">
        <v>324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 I-IX 2025</vt:lpstr>
      <vt:lpstr>RASHODI I-IX 2025</vt:lpstr>
      <vt:lpstr>NEIZMIRENE OBAVEZE I-IX 2025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Vladislav Karadzic</cp:lastModifiedBy>
  <cp:lastPrinted>2025-02-26T13:51:29Z</cp:lastPrinted>
  <dcterms:created xsi:type="dcterms:W3CDTF">2020-07-15T12:38:26Z</dcterms:created>
  <dcterms:modified xsi:type="dcterms:W3CDTF">2025-11-11T07:57:04Z</dcterms:modified>
</cp:coreProperties>
</file>