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aleksandar.mihaljevi\Desktop\OPEN DATA PODACI\"/>
    </mc:Choice>
  </mc:AlternateContent>
  <xr:revisionPtr revIDLastSave="0" documentId="8_{8CDDDE6B-3897-40A8-9902-487F5228B1D9}" xr6:coauthVersionLast="36" xr6:coauthVersionMax="36" xr10:uidLastSave="{00000000-0000-0000-0000-000000000000}"/>
  <bookViews>
    <workbookView xWindow="0" yWindow="0" windowWidth="28800" windowHeight="11385" tabRatio="607" xr2:uid="{00000000-000D-0000-FFFF-FFFF00000000}"/>
  </bookViews>
  <sheets>
    <sheet name="2025 PRIHODI" sheetId="2" r:id="rId1"/>
    <sheet name="2025 RASHODI" sheetId="1" r:id="rId2"/>
    <sheet name="2025 NEIZMIRENE OBAVEZE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55" i="2" l="1"/>
  <c r="AB54" i="2" s="1"/>
  <c r="AB56" i="2"/>
  <c r="AB57" i="2"/>
  <c r="AB58" i="2"/>
  <c r="I11" i="3" l="1"/>
  <c r="I4" i="3"/>
  <c r="I17" i="3" l="1"/>
  <c r="U11" i="3"/>
  <c r="U4" i="3"/>
  <c r="U60" i="2"/>
  <c r="U59" i="2" s="1"/>
  <c r="U54" i="2"/>
  <c r="U50" i="2" s="1"/>
  <c r="U51" i="2"/>
  <c r="U47" i="2"/>
  <c r="U44" i="2"/>
  <c r="U41" i="2"/>
  <c r="U40" i="2"/>
  <c r="U33" i="2"/>
  <c r="U19" i="2"/>
  <c r="U13" i="2" s="1"/>
  <c r="U3" i="2" s="1"/>
  <c r="U14" i="2"/>
  <c r="U9" i="2"/>
  <c r="U4" i="2"/>
  <c r="U63" i="2" l="1"/>
  <c r="U17" i="3"/>
  <c r="I60" i="2"/>
  <c r="I59" i="2"/>
  <c r="I54" i="2"/>
  <c r="I51" i="2"/>
  <c r="I47" i="2"/>
  <c r="I44" i="2"/>
  <c r="I41" i="2"/>
  <c r="I40" i="2"/>
  <c r="I33" i="2"/>
  <c r="I19" i="2"/>
  <c r="I14" i="2"/>
  <c r="I13" i="2" s="1"/>
  <c r="I9" i="2"/>
  <c r="I4" i="2"/>
  <c r="I50" i="2" l="1"/>
  <c r="I3" i="2"/>
  <c r="I63" i="2" l="1"/>
  <c r="K11" i="3"/>
  <c r="D11" i="3"/>
  <c r="E11" i="3"/>
  <c r="F11" i="3"/>
  <c r="AB16" i="3" l="1"/>
  <c r="AB15" i="3"/>
  <c r="AB14" i="3"/>
  <c r="AB13" i="3"/>
  <c r="AB12" i="3"/>
  <c r="AB10" i="3"/>
  <c r="AB8" i="3"/>
  <c r="AB6" i="3"/>
  <c r="AB5" i="3"/>
  <c r="AB11" i="3" l="1"/>
  <c r="Y11" i="3"/>
  <c r="Y4" i="3"/>
  <c r="Y17" i="3" l="1"/>
  <c r="K4" i="3"/>
  <c r="K17" i="3" s="1"/>
  <c r="AB62" i="2" l="1"/>
  <c r="AB61" i="2"/>
  <c r="AB53" i="2"/>
  <c r="AB52" i="2"/>
  <c r="AB49" i="2"/>
  <c r="AB48" i="2"/>
  <c r="AB46" i="2"/>
  <c r="AB45" i="2"/>
  <c r="AB43" i="2"/>
  <c r="AB42" i="2"/>
  <c r="AB36" i="2"/>
  <c r="AB37" i="2"/>
  <c r="AB38" i="2"/>
  <c r="AB39" i="2"/>
  <c r="AB34" i="2"/>
  <c r="AB32" i="2"/>
  <c r="AB21" i="2"/>
  <c r="AB22" i="2"/>
  <c r="AB23" i="2"/>
  <c r="AB24" i="2"/>
  <c r="AB25" i="2"/>
  <c r="AB26" i="2"/>
  <c r="AB28" i="2"/>
  <c r="AB29" i="2"/>
  <c r="AB31" i="2"/>
  <c r="AB20" i="2"/>
  <c r="AB16" i="2"/>
  <c r="AB17" i="2"/>
  <c r="AB18" i="2"/>
  <c r="AB15" i="2"/>
  <c r="AB11" i="2"/>
  <c r="AB12" i="2"/>
  <c r="AB10" i="2"/>
  <c r="AB5" i="2"/>
  <c r="AB6" i="2"/>
  <c r="AB7" i="2"/>
  <c r="AB8" i="2"/>
  <c r="AB101" i="1"/>
  <c r="AB102" i="1"/>
  <c r="AB100" i="1"/>
  <c r="AB98" i="1"/>
  <c r="AB97" i="1"/>
  <c r="AB95" i="1"/>
  <c r="AB94" i="1"/>
  <c r="AB92" i="1"/>
  <c r="AB91" i="1"/>
  <c r="AB86" i="1"/>
  <c r="AB87" i="1"/>
  <c r="AB88" i="1"/>
  <c r="AB85" i="1"/>
  <c r="AB78" i="1"/>
  <c r="AB79" i="1"/>
  <c r="AB80" i="1"/>
  <c r="AB72" i="1"/>
  <c r="AB73" i="1"/>
  <c r="AB71" i="1"/>
  <c r="AB64" i="1"/>
  <c r="AB66" i="1"/>
  <c r="AB67" i="1"/>
  <c r="AB68" i="1"/>
  <c r="AB61" i="1"/>
  <c r="AB58" i="1"/>
  <c r="AB51" i="1"/>
  <c r="AB52" i="1"/>
  <c r="AB53" i="1"/>
  <c r="AB54" i="1"/>
  <c r="AB55" i="1"/>
  <c r="AB56" i="1"/>
  <c r="AB50" i="1"/>
  <c r="AB48" i="1"/>
  <c r="AB46" i="1"/>
  <c r="AB47" i="1"/>
  <c r="AB45" i="1"/>
  <c r="AB43" i="1"/>
  <c r="AB42" i="1"/>
  <c r="AB38" i="1"/>
  <c r="AB39" i="1"/>
  <c r="AB40" i="1"/>
  <c r="AB37" i="1"/>
  <c r="AB28" i="1"/>
  <c r="AB29" i="1"/>
  <c r="AB30" i="1"/>
  <c r="AB31" i="1"/>
  <c r="AB32" i="1"/>
  <c r="AB33" i="1"/>
  <c r="AB34" i="1"/>
  <c r="AB35" i="1"/>
  <c r="AB27" i="1"/>
  <c r="AB21" i="1"/>
  <c r="AB22" i="1"/>
  <c r="AB24" i="1"/>
  <c r="AB25" i="1"/>
  <c r="AB20" i="1"/>
  <c r="AB13" i="1"/>
  <c r="AB14" i="1"/>
  <c r="AB15" i="1"/>
  <c r="AB16" i="1"/>
  <c r="AB17" i="1"/>
  <c r="AB18" i="1"/>
  <c r="AB12" i="1"/>
  <c r="AB7" i="1"/>
  <c r="AB8" i="1"/>
  <c r="AB9" i="1"/>
  <c r="AB10" i="1"/>
  <c r="AB6" i="1"/>
  <c r="Z11" i="1"/>
  <c r="Z5" i="1"/>
  <c r="Z60" i="2"/>
  <c r="Z59" i="2" s="1"/>
  <c r="AA60" i="2"/>
  <c r="AA59" i="2" s="1"/>
  <c r="Z54" i="2"/>
  <c r="AA54" i="2"/>
  <c r="Z51" i="2"/>
  <c r="AA51" i="2"/>
  <c r="AA50" i="2" s="1"/>
  <c r="Z47" i="2"/>
  <c r="AA47" i="2"/>
  <c r="Z44" i="2"/>
  <c r="AA44" i="2"/>
  <c r="Z41" i="2"/>
  <c r="Z40" i="2" s="1"/>
  <c r="AA41" i="2"/>
  <c r="Z33" i="2"/>
  <c r="AA33" i="2"/>
  <c r="Z19" i="2"/>
  <c r="AA19" i="2"/>
  <c r="Z4" i="2"/>
  <c r="AA4" i="2"/>
  <c r="Z9" i="2"/>
  <c r="AA9" i="2"/>
  <c r="Z14" i="2"/>
  <c r="AA14" i="2"/>
  <c r="Z4" i="1" l="1"/>
  <c r="Z13" i="2"/>
  <c r="Z50" i="2"/>
  <c r="AA13" i="2"/>
  <c r="AA40" i="2"/>
  <c r="AA3" i="2"/>
  <c r="AA63" i="2" s="1"/>
  <c r="Z3" i="2"/>
  <c r="Z63" i="2" s="1"/>
  <c r="Z70" i="1" l="1"/>
  <c r="Z60" i="1"/>
  <c r="Z59" i="1"/>
  <c r="Z3" i="1" s="1"/>
  <c r="Z103" i="1" s="1"/>
  <c r="Y99" i="1" l="1"/>
  <c r="Y96" i="1"/>
  <c r="Y93" i="1"/>
  <c r="Y90" i="1"/>
  <c r="Y89" i="1"/>
  <c r="Y84" i="1"/>
  <c r="Y83" i="1"/>
  <c r="Y75" i="1"/>
  <c r="Y74" i="1" s="1"/>
  <c r="Y70" i="1"/>
  <c r="Y60" i="1"/>
  <c r="Y59" i="1" s="1"/>
  <c r="Y49" i="1"/>
  <c r="Y44" i="1"/>
  <c r="Y41" i="1"/>
  <c r="Y36" i="1"/>
  <c r="Y26" i="1"/>
  <c r="Y4" i="1" s="1"/>
  <c r="Y19" i="1"/>
  <c r="Y11" i="1"/>
  <c r="Y5" i="1"/>
  <c r="Y60" i="2"/>
  <c r="Y59" i="2" s="1"/>
  <c r="Y54" i="2"/>
  <c r="Y51" i="2"/>
  <c r="Y47" i="2"/>
  <c r="Y44" i="2"/>
  <c r="Y41" i="2"/>
  <c r="Y40" i="2" s="1"/>
  <c r="Y33" i="2"/>
  <c r="Y19" i="2"/>
  <c r="Y14" i="2"/>
  <c r="Y9" i="2"/>
  <c r="Y4" i="2"/>
  <c r="Y50" i="2" l="1"/>
  <c r="Y13" i="2"/>
  <c r="Y3" i="2" s="1"/>
  <c r="Y63" i="2" s="1"/>
  <c r="Y3" i="1"/>
  <c r="Y103" i="1" s="1"/>
  <c r="X4" i="3" l="1"/>
  <c r="X17" i="3" s="1"/>
  <c r="X99" i="1"/>
  <c r="X96" i="1"/>
  <c r="X93" i="1"/>
  <c r="X90" i="1"/>
  <c r="X89" i="1" s="1"/>
  <c r="X84" i="1"/>
  <c r="X83" i="1" s="1"/>
  <c r="X75" i="1"/>
  <c r="X74" i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47" i="2"/>
  <c r="X44" i="2"/>
  <c r="X41" i="2"/>
  <c r="X40" i="2"/>
  <c r="X33" i="2"/>
  <c r="X19" i="2"/>
  <c r="X14" i="2"/>
  <c r="X13" i="2" s="1"/>
  <c r="X9" i="2"/>
  <c r="X4" i="2"/>
  <c r="X50" i="2" l="1"/>
  <c r="X4" i="1"/>
  <c r="X3" i="2"/>
  <c r="X63" i="2" s="1"/>
  <c r="X3" i="1"/>
  <c r="X103" i="1" s="1"/>
  <c r="V11" i="3" l="1"/>
  <c r="V4" i="3"/>
  <c r="V99" i="1"/>
  <c r="V96" i="1"/>
  <c r="V93" i="1"/>
  <c r="V89" i="1" s="1"/>
  <c r="V90" i="1"/>
  <c r="V84" i="1"/>
  <c r="V83" i="1" s="1"/>
  <c r="V75" i="1"/>
  <c r="V74" i="1" s="1"/>
  <c r="V70" i="1"/>
  <c r="V60" i="1"/>
  <c r="V59" i="1" s="1"/>
  <c r="V49" i="1"/>
  <c r="V44" i="1"/>
  <c r="V41" i="1"/>
  <c r="V4" i="1" s="1"/>
  <c r="V36" i="1"/>
  <c r="V26" i="1"/>
  <c r="V19" i="1"/>
  <c r="V11" i="1"/>
  <c r="V5" i="1"/>
  <c r="V60" i="2"/>
  <c r="V59" i="2" s="1"/>
  <c r="V54" i="2"/>
  <c r="V51" i="2"/>
  <c r="V47" i="2"/>
  <c r="V44" i="2"/>
  <c r="V41" i="2"/>
  <c r="V40" i="2" s="1"/>
  <c r="V33" i="2"/>
  <c r="V19" i="2"/>
  <c r="V14" i="2"/>
  <c r="V9" i="2"/>
  <c r="V4" i="2"/>
  <c r="V17" i="3" l="1"/>
  <c r="V13" i="2"/>
  <c r="V3" i="2" s="1"/>
  <c r="V50" i="2"/>
  <c r="V3" i="1"/>
  <c r="V103" i="1" s="1"/>
  <c r="V63" i="2" l="1"/>
  <c r="U99" i="1"/>
  <c r="U96" i="1"/>
  <c r="U93" i="1"/>
  <c r="U90" i="1"/>
  <c r="U89" i="1" s="1"/>
  <c r="U84" i="1"/>
  <c r="U83" i="1" s="1"/>
  <c r="U75" i="1"/>
  <c r="U74" i="1" s="1"/>
  <c r="U70" i="1"/>
  <c r="U60" i="1"/>
  <c r="U49" i="1"/>
  <c r="U44" i="1"/>
  <c r="U41" i="1"/>
  <c r="U36" i="1"/>
  <c r="U26" i="1"/>
  <c r="U19" i="1"/>
  <c r="U11" i="1"/>
  <c r="U5" i="1"/>
  <c r="U59" i="1" l="1"/>
  <c r="U4" i="1"/>
  <c r="U3" i="1"/>
  <c r="U103" i="1" s="1"/>
  <c r="T11" i="3" l="1"/>
  <c r="T4" i="3"/>
  <c r="T99" i="1"/>
  <c r="T96" i="1"/>
  <c r="T89" i="1" s="1"/>
  <c r="T93" i="1"/>
  <c r="T90" i="1"/>
  <c r="T84" i="1"/>
  <c r="T83" i="1"/>
  <c r="T75" i="1"/>
  <c r="T74" i="1"/>
  <c r="T70" i="1"/>
  <c r="T60" i="1"/>
  <c r="T49" i="1"/>
  <c r="T44" i="1"/>
  <c r="T41" i="1"/>
  <c r="T36" i="1"/>
  <c r="T26" i="1"/>
  <c r="T19" i="1"/>
  <c r="T11" i="1"/>
  <c r="T4" i="1" s="1"/>
  <c r="T5" i="1"/>
  <c r="T60" i="2"/>
  <c r="T59" i="2" s="1"/>
  <c r="T54" i="2"/>
  <c r="T51" i="2"/>
  <c r="T50" i="2"/>
  <c r="T47" i="2"/>
  <c r="T44" i="2"/>
  <c r="T40" i="2" s="1"/>
  <c r="T41" i="2"/>
  <c r="T35" i="2"/>
  <c r="AB35" i="2" s="1"/>
  <c r="T27" i="2"/>
  <c r="AB27" i="2" s="1"/>
  <c r="T19" i="2"/>
  <c r="T14" i="2"/>
  <c r="T9" i="2"/>
  <c r="T4" i="2"/>
  <c r="T17" i="3" l="1"/>
  <c r="T59" i="1"/>
  <c r="T3" i="1" s="1"/>
  <c r="T103" i="1" s="1"/>
  <c r="T33" i="2"/>
  <c r="T13" i="2"/>
  <c r="T3" i="2" s="1"/>
  <c r="T63" i="2" s="1"/>
  <c r="S99" i="1" l="1"/>
  <c r="S96" i="1"/>
  <c r="S93" i="1"/>
  <c r="S90" i="1"/>
  <c r="S89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 s="1"/>
  <c r="S33" i="2"/>
  <c r="S19" i="2"/>
  <c r="S14" i="2"/>
  <c r="S13" i="2" s="1"/>
  <c r="S9" i="2"/>
  <c r="S4" i="2"/>
  <c r="S3" i="2" l="1"/>
  <c r="S63" i="2" s="1"/>
  <c r="S59" i="1"/>
  <c r="S4" i="1"/>
  <c r="S3" i="1"/>
  <c r="S103" i="1" s="1"/>
  <c r="P4" i="3"/>
  <c r="P17" i="3" s="1"/>
  <c r="P99" i="1"/>
  <c r="P96" i="1"/>
  <c r="P89" i="1" s="1"/>
  <c r="P93" i="1"/>
  <c r="P90" i="1"/>
  <c r="P84" i="1"/>
  <c r="P83" i="1" s="1"/>
  <c r="P82" i="1"/>
  <c r="AB82" i="1" s="1"/>
  <c r="P81" i="1"/>
  <c r="AB81" i="1" s="1"/>
  <c r="P77" i="1"/>
  <c r="AB77" i="1" s="1"/>
  <c r="P76" i="1"/>
  <c r="P70" i="1"/>
  <c r="P60" i="1"/>
  <c r="P59" i="1"/>
  <c r="P57" i="1"/>
  <c r="P49" i="1"/>
  <c r="P44" i="1"/>
  <c r="P41" i="1"/>
  <c r="P36" i="1"/>
  <c r="P26" i="1"/>
  <c r="P19" i="1"/>
  <c r="P11" i="1"/>
  <c r="P5" i="1"/>
  <c r="P60" i="2"/>
  <c r="P59" i="2" s="1"/>
  <c r="P54" i="2"/>
  <c r="P50" i="2" s="1"/>
  <c r="P51" i="2"/>
  <c r="P47" i="2"/>
  <c r="P44" i="2"/>
  <c r="P41" i="2"/>
  <c r="P40" i="2"/>
  <c r="P33" i="2"/>
  <c r="P19" i="2"/>
  <c r="P14" i="2"/>
  <c r="P9" i="2"/>
  <c r="P4" i="2"/>
  <c r="P75" i="1" l="1"/>
  <c r="P74" i="1" s="1"/>
  <c r="AB76" i="1"/>
  <c r="P4" i="1"/>
  <c r="P3" i="1" s="1"/>
  <c r="P103" i="1" s="1"/>
  <c r="P13" i="2"/>
  <c r="P3" i="2" s="1"/>
  <c r="P63" i="2" s="1"/>
  <c r="L11" i="3"/>
  <c r="L4" i="3"/>
  <c r="L99" i="1"/>
  <c r="L96" i="1"/>
  <c r="L93" i="1"/>
  <c r="L90" i="1"/>
  <c r="L89" i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4" i="1" s="1"/>
  <c r="L60" i="2"/>
  <c r="L59" i="2" s="1"/>
  <c r="L54" i="2"/>
  <c r="L51" i="2"/>
  <c r="L50" i="2"/>
  <c r="L47" i="2"/>
  <c r="L44" i="2"/>
  <c r="L41" i="2"/>
  <c r="L40" i="2" s="1"/>
  <c r="L33" i="2"/>
  <c r="L30" i="2"/>
  <c r="AB30" i="2" s="1"/>
  <c r="L19" i="2"/>
  <c r="L14" i="2"/>
  <c r="L13" i="2" s="1"/>
  <c r="L9" i="2"/>
  <c r="L4" i="2"/>
  <c r="L17" i="3" l="1"/>
  <c r="L3" i="1"/>
  <c r="L103" i="1" s="1"/>
  <c r="L3" i="2"/>
  <c r="L63" i="2" l="1"/>
  <c r="I99" i="1"/>
  <c r="I96" i="1"/>
  <c r="I93" i="1"/>
  <c r="I89" i="1" s="1"/>
  <c r="I90" i="1"/>
  <c r="I84" i="1"/>
  <c r="I83" i="1"/>
  <c r="I75" i="1"/>
  <c r="I74" i="1"/>
  <c r="I70" i="1"/>
  <c r="I60" i="1"/>
  <c r="I59" i="1" s="1"/>
  <c r="I49" i="1"/>
  <c r="I44" i="1"/>
  <c r="I41" i="1"/>
  <c r="I36" i="1"/>
  <c r="I26" i="1"/>
  <c r="I19" i="1"/>
  <c r="I11" i="1"/>
  <c r="I5" i="1"/>
  <c r="I4" i="1" s="1"/>
  <c r="I3" i="1" l="1"/>
  <c r="I103" i="1" s="1"/>
  <c r="G9" i="3" l="1"/>
  <c r="AB9" i="3" s="1"/>
  <c r="G7" i="3"/>
  <c r="AB7" i="3" s="1"/>
  <c r="AB4" i="3" s="1"/>
  <c r="G99" i="1"/>
  <c r="G96" i="1"/>
  <c r="G93" i="1"/>
  <c r="G90" i="1"/>
  <c r="G89" i="1" s="1"/>
  <c r="G84" i="1"/>
  <c r="G83" i="1"/>
  <c r="G75" i="1"/>
  <c r="G74" i="1"/>
  <c r="G70" i="1"/>
  <c r="G69" i="1"/>
  <c r="G65" i="1"/>
  <c r="AB65" i="1" s="1"/>
  <c r="G63" i="1"/>
  <c r="AB63" i="1" s="1"/>
  <c r="G62" i="1"/>
  <c r="AB62" i="1" s="1"/>
  <c r="G57" i="1"/>
  <c r="AB57" i="1" s="1"/>
  <c r="G49" i="1"/>
  <c r="G44" i="1"/>
  <c r="G41" i="1"/>
  <c r="G36" i="1"/>
  <c r="G26" i="1"/>
  <c r="G23" i="1"/>
  <c r="G11" i="1"/>
  <c r="G5" i="1"/>
  <c r="G60" i="2"/>
  <c r="G59" i="2"/>
  <c r="G54" i="2"/>
  <c r="G51" i="2"/>
  <c r="G50" i="2" s="1"/>
  <c r="G47" i="2"/>
  <c r="G44" i="2"/>
  <c r="G41" i="2"/>
  <c r="G40" i="2"/>
  <c r="G33" i="2"/>
  <c r="G19" i="2"/>
  <c r="G14" i="2"/>
  <c r="G9" i="2"/>
  <c r="G4" i="2"/>
  <c r="AB17" i="3" l="1"/>
  <c r="G4" i="3"/>
  <c r="G17" i="3" s="1"/>
  <c r="G60" i="1"/>
  <c r="G59" i="1" s="1"/>
  <c r="G3" i="1" s="1"/>
  <c r="G103" i="1" s="1"/>
  <c r="AB69" i="1"/>
  <c r="G19" i="1"/>
  <c r="G4" i="1" s="1"/>
  <c r="AB23" i="1"/>
  <c r="G13" i="2"/>
  <c r="G3" i="2" s="1"/>
  <c r="G63" i="2" s="1"/>
  <c r="C99" i="1" l="1"/>
  <c r="C96" i="1"/>
  <c r="C93" i="1"/>
  <c r="C90" i="1"/>
  <c r="C89" i="1"/>
  <c r="C84" i="1"/>
  <c r="C83" i="1"/>
  <c r="C75" i="1"/>
  <c r="C74" i="1" s="1"/>
  <c r="C70" i="1"/>
  <c r="C60" i="1"/>
  <c r="C59" i="1" s="1"/>
  <c r="C49" i="1"/>
  <c r="C44" i="1"/>
  <c r="C41" i="1"/>
  <c r="C36" i="1"/>
  <c r="C26" i="1"/>
  <c r="C19" i="1"/>
  <c r="C11" i="1"/>
  <c r="C5" i="1"/>
  <c r="C60" i="2"/>
  <c r="C59" i="2" s="1"/>
  <c r="C54" i="2"/>
  <c r="C51" i="2"/>
  <c r="C47" i="2"/>
  <c r="C44" i="2"/>
  <c r="C41" i="2"/>
  <c r="C40" i="2" s="1"/>
  <c r="C33" i="2"/>
  <c r="C19" i="2"/>
  <c r="C14" i="2"/>
  <c r="C13" i="2" s="1"/>
  <c r="C9" i="2"/>
  <c r="C4" i="2"/>
  <c r="C4" i="1" l="1"/>
  <c r="C3" i="1" s="1"/>
  <c r="C103" i="1" s="1"/>
  <c r="C50" i="2"/>
  <c r="C3" i="2"/>
  <c r="C63" i="2" l="1"/>
  <c r="K49" i="1"/>
  <c r="R99" i="1" l="1"/>
  <c r="R96" i="1"/>
  <c r="R93" i="1"/>
  <c r="R90" i="1"/>
  <c r="R84" i="1"/>
  <c r="R83" i="1" s="1"/>
  <c r="R75" i="1"/>
  <c r="R74" i="1" s="1"/>
  <c r="R70" i="1"/>
  <c r="R60" i="1"/>
  <c r="R49" i="1"/>
  <c r="R44" i="1"/>
  <c r="R41" i="1"/>
  <c r="R36" i="1"/>
  <c r="R26" i="1"/>
  <c r="R19" i="1"/>
  <c r="R11" i="1"/>
  <c r="R5" i="1"/>
  <c r="R60" i="2"/>
  <c r="R59" i="2" s="1"/>
  <c r="R54" i="2"/>
  <c r="R51" i="2"/>
  <c r="R47" i="2"/>
  <c r="R44" i="2"/>
  <c r="R41" i="2"/>
  <c r="R33" i="2"/>
  <c r="R19" i="2"/>
  <c r="R14" i="2"/>
  <c r="R9" i="2"/>
  <c r="R4" i="2"/>
  <c r="R13" i="2" l="1"/>
  <c r="R3" i="2" s="1"/>
  <c r="R89" i="1"/>
  <c r="R59" i="1"/>
  <c r="R4" i="1"/>
  <c r="R3" i="1" s="1"/>
  <c r="R50" i="2"/>
  <c r="R40" i="2"/>
  <c r="R103" i="1" l="1"/>
  <c r="R63" i="2"/>
  <c r="D19" i="2"/>
  <c r="E19" i="2"/>
  <c r="F19" i="2"/>
  <c r="H19" i="2"/>
  <c r="J19" i="2"/>
  <c r="K19" i="2"/>
  <c r="M19" i="2"/>
  <c r="N19" i="2"/>
  <c r="O19" i="2"/>
  <c r="Q19" i="2"/>
  <c r="W19" i="2"/>
  <c r="D14" i="2"/>
  <c r="D13" i="2" s="1"/>
  <c r="E14" i="2"/>
  <c r="F14" i="2"/>
  <c r="H14" i="2"/>
  <c r="J14" i="2"/>
  <c r="K14" i="2"/>
  <c r="M14" i="2"/>
  <c r="N14" i="2"/>
  <c r="O14" i="2"/>
  <c r="Q14" i="2"/>
  <c r="W14" i="2"/>
  <c r="D4" i="2"/>
  <c r="E4" i="2"/>
  <c r="F4" i="2"/>
  <c r="H4" i="2"/>
  <c r="J4" i="2"/>
  <c r="K4" i="2"/>
  <c r="M4" i="2"/>
  <c r="N4" i="2"/>
  <c r="O4" i="2"/>
  <c r="Q4" i="2"/>
  <c r="W4" i="2"/>
  <c r="D9" i="2"/>
  <c r="E9" i="2"/>
  <c r="F9" i="2"/>
  <c r="H9" i="2"/>
  <c r="J9" i="2"/>
  <c r="K9" i="2"/>
  <c r="M9" i="2"/>
  <c r="N9" i="2"/>
  <c r="O9" i="2"/>
  <c r="Q9" i="2"/>
  <c r="W9" i="2"/>
  <c r="K13" i="2" l="1"/>
  <c r="J13" i="2"/>
  <c r="M13" i="2"/>
  <c r="W13" i="2"/>
  <c r="Q13" i="2"/>
  <c r="O13" i="2"/>
  <c r="N13" i="2"/>
  <c r="H13" i="2"/>
  <c r="F13" i="2"/>
  <c r="E13" i="2"/>
  <c r="J84" i="1" l="1"/>
  <c r="J83" i="1" s="1"/>
  <c r="J44" i="2"/>
  <c r="J41" i="2"/>
  <c r="J40" i="2" s="1"/>
  <c r="W11" i="3" l="1"/>
  <c r="AA11" i="3" l="1"/>
  <c r="Z11" i="3"/>
  <c r="S11" i="3"/>
  <c r="R11" i="3"/>
  <c r="Q11" i="3"/>
  <c r="O11" i="3"/>
  <c r="N11" i="3"/>
  <c r="M11" i="3"/>
  <c r="J11" i="3"/>
  <c r="H11" i="3"/>
  <c r="D4" i="3"/>
  <c r="E4" i="3"/>
  <c r="F4" i="3"/>
  <c r="H4" i="3"/>
  <c r="J4" i="3"/>
  <c r="M4" i="3"/>
  <c r="N4" i="3"/>
  <c r="O4" i="3"/>
  <c r="Q4" i="3"/>
  <c r="R4" i="3"/>
  <c r="S4" i="3"/>
  <c r="W4" i="3"/>
  <c r="W17" i="3" s="1"/>
  <c r="Q17" i="3" l="1"/>
  <c r="Z4" i="3"/>
  <c r="AA4" i="3"/>
  <c r="AA17" i="3" s="1"/>
  <c r="AA99" i="1"/>
  <c r="AA96" i="1"/>
  <c r="AA93" i="1"/>
  <c r="AA90" i="1"/>
  <c r="AA84" i="1"/>
  <c r="AA83" i="1"/>
  <c r="AA75" i="1"/>
  <c r="AA74" i="1" s="1"/>
  <c r="AA70" i="1"/>
  <c r="AA60" i="1"/>
  <c r="AA49" i="1"/>
  <c r="AA44" i="1"/>
  <c r="AA41" i="1"/>
  <c r="AA36" i="1"/>
  <c r="AA26" i="1"/>
  <c r="AA19" i="1"/>
  <c r="AA11" i="1"/>
  <c r="AA5" i="1"/>
  <c r="AA59" i="1" l="1"/>
  <c r="AA89" i="1"/>
  <c r="AA4" i="1"/>
  <c r="AA3" i="1" s="1"/>
  <c r="AA103" i="1" s="1"/>
  <c r="Z17" i="3"/>
  <c r="R17" i="3" l="1"/>
  <c r="S17" i="3" l="1"/>
  <c r="N17" i="3" l="1"/>
  <c r="N99" i="1"/>
  <c r="N96" i="1"/>
  <c r="N93" i="1"/>
  <c r="N90" i="1"/>
  <c r="N84" i="1"/>
  <c r="N83" i="1" s="1"/>
  <c r="N75" i="1"/>
  <c r="N74" i="1" s="1"/>
  <c r="N70" i="1"/>
  <c r="N60" i="1"/>
  <c r="N49" i="1"/>
  <c r="N44" i="1"/>
  <c r="N41" i="1"/>
  <c r="N36" i="1"/>
  <c r="N26" i="1"/>
  <c r="N19" i="1"/>
  <c r="N11" i="1"/>
  <c r="N5" i="1"/>
  <c r="N60" i="2"/>
  <c r="N59" i="2" s="1"/>
  <c r="N54" i="2"/>
  <c r="N51" i="2"/>
  <c r="N47" i="2"/>
  <c r="N44" i="2"/>
  <c r="N41" i="2"/>
  <c r="N33" i="2"/>
  <c r="N89" i="1" l="1"/>
  <c r="N59" i="1"/>
  <c r="N4" i="1"/>
  <c r="N50" i="2"/>
  <c r="N40" i="2"/>
  <c r="N3" i="2"/>
  <c r="N3" i="1" l="1"/>
  <c r="N103" i="1" s="1"/>
  <c r="N63" i="2"/>
  <c r="K99" i="1"/>
  <c r="K96" i="1"/>
  <c r="K93" i="1"/>
  <c r="K90" i="1"/>
  <c r="K84" i="1"/>
  <c r="K83" i="1" s="1"/>
  <c r="K75" i="1"/>
  <c r="K74" i="1" s="1"/>
  <c r="K70" i="1"/>
  <c r="K60" i="1"/>
  <c r="K44" i="1"/>
  <c r="K41" i="1"/>
  <c r="K36" i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40" i="2" l="1"/>
  <c r="K59" i="1"/>
  <c r="K89" i="1"/>
  <c r="K4" i="1"/>
  <c r="K3" i="1" s="1"/>
  <c r="K103" i="1" s="1"/>
  <c r="K3" i="2"/>
  <c r="K63" i="2" s="1"/>
  <c r="E17" i="3" l="1"/>
  <c r="F17" i="3"/>
  <c r="E99" i="1"/>
  <c r="E96" i="1"/>
  <c r="E93" i="1"/>
  <c r="E90" i="1"/>
  <c r="E84" i="1"/>
  <c r="E83" i="1" s="1"/>
  <c r="E75" i="1"/>
  <c r="E74" i="1" s="1"/>
  <c r="E70" i="1"/>
  <c r="E60" i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89" i="1" l="1"/>
  <c r="E59" i="1"/>
  <c r="E50" i="2"/>
  <c r="E4" i="1"/>
  <c r="E3" i="2"/>
  <c r="E3" i="1" l="1"/>
  <c r="E103" i="1" s="1"/>
  <c r="E63" i="2"/>
  <c r="C11" i="3"/>
  <c r="C4" i="3"/>
  <c r="C17" i="3" l="1"/>
  <c r="D99" i="1"/>
  <c r="D96" i="1"/>
  <c r="D93" i="1"/>
  <c r="D90" i="1"/>
  <c r="D84" i="1"/>
  <c r="D83" i="1"/>
  <c r="D75" i="1"/>
  <c r="D74" i="1" s="1"/>
  <c r="D70" i="1"/>
  <c r="D60" i="1"/>
  <c r="D59" i="1" s="1"/>
  <c r="D49" i="1"/>
  <c r="D44" i="1"/>
  <c r="D41" i="1"/>
  <c r="D36" i="1"/>
  <c r="D26" i="1"/>
  <c r="D19" i="1"/>
  <c r="D11" i="1"/>
  <c r="D5" i="1"/>
  <c r="D60" i="2"/>
  <c r="D59" i="2" s="1"/>
  <c r="D54" i="2"/>
  <c r="D51" i="2"/>
  <c r="D47" i="2"/>
  <c r="D44" i="2"/>
  <c r="D41" i="2"/>
  <c r="D33" i="2"/>
  <c r="D89" i="1" l="1"/>
  <c r="D4" i="1"/>
  <c r="D3" i="1" s="1"/>
  <c r="D103" i="1" s="1"/>
  <c r="D40" i="2"/>
  <c r="D17" i="3"/>
  <c r="D3" i="2"/>
  <c r="D50" i="2"/>
  <c r="D63" i="2" l="1"/>
  <c r="M17" i="3" l="1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H33" i="2"/>
  <c r="H41" i="2"/>
  <c r="H44" i="2"/>
  <c r="H47" i="2"/>
  <c r="H51" i="2"/>
  <c r="H40" i="2" l="1"/>
  <c r="H3" i="2"/>
  <c r="W89" i="1"/>
  <c r="W59" i="1"/>
  <c r="W4" i="1"/>
  <c r="W3" i="1" l="1"/>
  <c r="F33" i="2"/>
  <c r="F41" i="2"/>
  <c r="F44" i="2"/>
  <c r="F47" i="2"/>
  <c r="F51" i="2"/>
  <c r="F40" i="2" l="1"/>
  <c r="F3" i="2"/>
  <c r="J33" i="2" l="1"/>
  <c r="J47" i="2"/>
  <c r="J51" i="2"/>
  <c r="J54" i="2"/>
  <c r="J50" i="2" l="1"/>
  <c r="W103" i="1"/>
  <c r="F99" i="1" l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Q59" i="1"/>
  <c r="O89" i="1"/>
  <c r="F59" i="1"/>
  <c r="J3" i="2"/>
  <c r="J3" i="1" l="1"/>
  <c r="J103" i="1"/>
  <c r="J63" i="2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J17" i="3" l="1"/>
  <c r="H83" i="1" l="1"/>
  <c r="H74" i="1"/>
  <c r="H4" i="1" l="1"/>
  <c r="H3" i="1" s="1"/>
  <c r="H103" i="1" s="1"/>
  <c r="H60" i="2"/>
  <c r="H59" i="2" s="1"/>
  <c r="H63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C25" i="11" l="1"/>
  <c r="C34" i="12" l="1"/>
  <c r="D34" i="12" s="1"/>
  <c r="F74" i="1" l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C42" i="11" l="1"/>
  <c r="C44" i="11"/>
  <c r="C67" i="11"/>
  <c r="AB51" i="2" l="1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19" i="2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O63" i="2" s="1"/>
  <c r="Q3" i="2"/>
  <c r="Q63" i="2" s="1"/>
  <c r="F63" i="2"/>
  <c r="AB14" i="2"/>
  <c r="AB13" i="2" s="1"/>
  <c r="AB3" i="2" l="1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4" i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96" i="1" l="1"/>
  <c r="C60" i="11" l="1"/>
  <c r="AB89" i="1"/>
  <c r="C53" i="12" l="1"/>
  <c r="D53" i="12" s="1"/>
  <c r="AB99" i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<sst xmlns="http://schemas.openxmlformats.org/spreadsheetml/2006/main" count="772" uniqueCount="446">
  <si>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</si>
  <si>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</si>
  <si>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</si>
  <si>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</si>
  <si>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</si>
  <si>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</si>
  <si>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</si>
  <si>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</si>
  <si>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</si>
  <si>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</si>
  <si>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</si>
  <si>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</si>
  <si>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</si>
  <si>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</si>
  <si>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</si>
  <si>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</si>
  <si>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</si>
  <si>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</si>
  <si>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</si>
  <si>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</si>
  <si>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</si>
  <si>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</si>
  <si>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</si>
  <si>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</si>
  <si>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</si>
  <si>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</si>
  <si>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</si>
  <si>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</si>
  <si>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</si>
  <si>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</si>
  <si>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</si>
  <si>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</si>
  <si>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</si>
  <si>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</si>
  <si>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</si>
  <si>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</si>
  <si>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</si>
  <si>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</si>
  <si>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</si>
  <si>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</si>
  <si>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</si>
  <si>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</si>
  <si>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</si>
  <si>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</si>
  <si>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</si>
  <si>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</si>
  <si>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</si>
  <si>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</si>
  <si>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</si>
  <si>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</si>
  <si>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</si>
  <si>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</si>
  <si>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</si>
  <si>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</si>
  <si>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</si>
  <si>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</si>
  <si>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</si>
  <si>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</si>
  <si>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</si>
  <si>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</si>
  <si>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</si>
  <si>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</si>
  <si>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</si>
  <si>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</si>
  <si>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</si>
  <si>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</si>
  <si>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</si>
  <si>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</si>
  <si>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</si>
  <si>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</si>
  <si>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</si>
  <si>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</si>
  <si>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</si>
  <si>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</si>
  <si>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</si>
  <si>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</si>
  <si>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</si>
  <si>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</si>
  <si>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</si>
  <si>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</si>
  <si>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</si>
  <si>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</si>
  <si>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</si>
  <si>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</si>
  <si>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</si>
  <si>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</si>
  <si>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</si>
  <si>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</si>
  <si>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</si>
  <si>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</si>
  <si>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</si>
  <si>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</si>
  <si>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</si>
  <si>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</si>
  <si>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</si>
  <si>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</si>
  <si>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</si>
  <si>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</si>
  <si>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</si>
  <si>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</si>
  <si>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</si>
  <si>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</si>
  <si>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</si>
  <si>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</si>
  <si>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</si>
  <si>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</si>
  <si>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</si>
  <si>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</si>
  <si>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</si>
  <si>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</si>
  <si>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</si>
  <si>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</si>
  <si>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</si>
  <si>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</si>
  <si>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</si>
  <si>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</si>
  <si>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</si>
  <si>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</si>
  <si>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</si>
  <si>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</si>
  <si>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</si>
  <si>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</si>
  <si>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</si>
  <si>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</si>
  <si>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</si>
  <si>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</si>
  <si>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</si>
  <si>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</si>
  <si>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</si>
  <si>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</si>
  <si>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</si>
  <si>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</si>
  <si>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</si>
  <si>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</si>
  <si>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</si>
  <si>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</si>
  <si>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</si>
  <si>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</si>
  <si>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</si>
  <si>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</si>
  <si>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</si>
  <si>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</si>
  <si>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</si>
  <si>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</si>
  <si>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</si>
  <si>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</si>
  <si>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</si>
  <si>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</si>
  <si>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</si>
  <si>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</si>
  <si>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</si>
  <si>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</si>
  <si>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</si>
  <si>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</si>
  <si>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</si>
  <si>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</si>
  <si>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</si>
  <si>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</si>
  <si>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</si>
  <si>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</si>
  <si>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</si>
  <si>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</si>
  <si>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</si>
  <si>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</si>
  <si>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</si>
  <si>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</si>
  <si>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</si>
  <si>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</si>
  <si>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</si>
  <si>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</si>
  <si>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</si>
  <si>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</si>
  <si>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</si>
  <si>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</si>
  <si>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</si>
  <si>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</si>
  <si>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</si>
  <si>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</si>
  <si>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</si>
  <si>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</si>
  <si>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</si>
  <si>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</si>
  <si>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</si>
  <si>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</si>
  <si>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</si>
  <si>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</si>
  <si>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</si>
  <si>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</si>
  <si>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</si>
  <si>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</si>
  <si>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</si>
  <si>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</si>
  <si>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</si>
  <si>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</si>
  <si>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</si>
  <si>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</si>
  <si>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</si>
  <si>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</si>
  <si>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</si>
  <si>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</si>
  <si>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</si>
  <si>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</si>
  <si>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</si>
  <si>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</si>
  <si>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</si>
  <si>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</si>
  <si>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</si>
  <si>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</si>
  <si>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</si>
  <si>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</si>
  <si>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</si>
  <si>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</si>
  <si>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</si>
  <si>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</si>
  <si>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</si>
  <si>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</si>
  <si>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</si>
  <si>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</si>
  <si>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</si>
  <si>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</si>
  <si>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</si>
  <si>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</si>
  <si>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</si>
  <si>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</si>
  <si>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</si>
  <si>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</si>
  <si>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</si>
  <si>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</si>
  <si>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</si>
  <si>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</si>
  <si>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</si>
  <si>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</si>
  <si>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</si>
  <si>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</si>
  <si>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</si>
  <si>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</si>
  <si>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</si>
  <si>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</si>
  <si>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</si>
  <si>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</si>
  <si>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</si>
  <si>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</si>
  <si>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</si>
  <si>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</si>
  <si>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</si>
  <si>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</si>
  <si>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</si>
  <si>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</si>
  <si>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</si>
  <si>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</si>
  <si>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</si>
  <si>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</si>
  <si>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</si>
  <si>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</si>
  <si>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</si>
  <si>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</si>
  <si>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</si>
  <si>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</si>
  <si>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</si>
  <si>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</si>
  <si>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</si>
  <si>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</si>
  <si>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</si>
  <si>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</si>
  <si>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</si>
  <si>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</si>
  <si>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</si>
  <si>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</si>
  <si>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</si>
  <si>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</si>
  <si>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</si>
  <si>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</si>
  <si>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</si>
  <si>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</si>
  <si>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</si>
  <si>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</si>
  <si>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</si>
  <si>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</si>
  <si>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</si>
  <si>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</si>
  <si>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</si>
  <si>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</si>
  <si>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</si>
  <si>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</si>
  <si>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</si>
  <si>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</si>
  <si>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</si>
  <si>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</si>
  <si>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</si>
  <si>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</si>
  <si>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</si>
  <si>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</si>
  <si>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</si>
  <si>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</si>
  <si>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</si>
  <si>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</si>
  <si>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</si>
  <si>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</si>
  <si>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</si>
  <si>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</si>
  <si>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</si>
  <si>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</si>
  <si>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</si>
  <si>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</si>
  <si>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</si>
  <si>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</si>
  <si>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</si>
  <si>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</si>
  <si>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</si>
  <si>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</si>
  <si>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</si>
  <si>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</si>
  <si>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</si>
  <si>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</si>
  <si>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</si>
  <si>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</si>
  <si>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</si>
  <si>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</si>
  <si>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</si>
  <si>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</si>
  <si>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</si>
  <si>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</si>
  <si>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</si>
  <si>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</si>
  <si>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</si>
  <si>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</si>
  <si>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</si>
  <si>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</si>
  <si>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</si>
  <si>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</si>
  <si>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</si>
  <si>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</si>
  <si>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</si>
  <si>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</si>
  <si>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</si>
  <si>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</si>
  <si>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</si>
  <si>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</si>
  <si>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</si>
  <si>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</si>
  <si>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</si>
  <si>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</si>
  <si>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</si>
  <si>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</si>
  <si>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</si>
  <si>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</si>
  <si>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</si>
  <si>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</si>
  <si>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</si>
  <si>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</si>
  <si>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</si>
  <si>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</si>
  <si>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</si>
  <si>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</si>
  <si>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</si>
  <si>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</si>
  <si>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</si>
  <si>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</si>
  <si>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</si>
  <si>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</si>
  <si>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</si>
  <si>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</si>
  <si>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</si>
  <si>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</si>
  <si>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</si>
  <si>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</si>
  <si>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</si>
  <si>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</si>
  <si>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</si>
  <si>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</si>
  <si>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</si>
  <si>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</si>
  <si>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</si>
  <si>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</si>
  <si>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</si>
  <si>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</si>
  <si>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</si>
  <si>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</si>
  <si>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</si>
  <si>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</si>
  <si>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</si>
  <si>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</si>
  <si>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</si>
  <si>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</si>
  <si>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</si>
  <si>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</si>
  <si>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</si>
  <si>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</si>
  <si>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</si>
  <si>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</si>
  <si>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</si>
  <si>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</si>
  <si>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</si>
  <si>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</si>
  <si>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</si>
  <si>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</si>
  <si>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</si>
  <si>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</si>
  <si>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</si>
  <si>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</si>
  <si>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</si>
  <si>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</si>
  <si>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</si>
  <si>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</si>
  <si>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</si>
  <si>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</si>
  <si>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</si>
  <si>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</si>
  <si>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</si>
  <si>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</si>
  <si>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</si>
  <si>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</si>
  <si>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</si>
  <si>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</si>
  <si>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</si>
  <si>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</si>
  <si>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</si>
  <si>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</si>
  <si>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</si>
  <si>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</si>
  <si>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</si>
  <si>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</si>
  <si>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</si>
  <si>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</si>
  <si>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</si>
  <si>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</si>
  <si>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</si>
  <si>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</si>
  <si>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</si>
  <si>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</si>
  <si>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</si>
  <si>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</si>
  <si>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</si>
  <si>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</si>
  <si>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</si>
  <si>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</si>
  <si>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</si>
  <si>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</si>
  <si>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</si>
  <si>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</si>
  <si>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</si>
  <si>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</si>
  <si>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</si>
  <si>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opštine na 31.12.2025.</t>
  </si>
  <si>
    <t>Stanje neizmirenih obaveza opština na 31.12.2025.</t>
  </si>
  <si>
    <t>Transferi od ZZZ CG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</si>
</sst>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1"/>
      <name val="Cambria"/>
      <family val="1"/>
    </font>
    <font>
      <sz val="11"/>
      <name val="Cambria"/>
      <family val="1"/>
    </font>
    <font>
      <b/>
      <sz val="14"/>
      <color theme="8" tint="-0.249977111117893"/>
      <name val="Cambria"/>
      <family val="1"/>
    </font>
    <font>
      <b/>
      <sz val="11"/>
      <color rgb="FF000000"/>
      <name val="Cambria"/>
      <family val="1"/>
    </font>
  </fonts>
  <fills count="4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2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54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2" fillId="0" borderId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5" borderId="0" applyNumberFormat="0" applyBorder="0" applyAlignment="0" applyProtection="0"/>
    <xf numFmtId="0" fontId="15" fillId="9" borderId="0" applyNumberFormat="0" applyBorder="0" applyAlignment="0" applyProtection="0"/>
    <xf numFmtId="0" fontId="16" fillId="26" borderId="16" applyNumberFormat="0" applyAlignment="0" applyProtection="0"/>
    <xf numFmtId="0" fontId="17" fillId="27" borderId="17" applyNumberFormat="0" applyAlignment="0" applyProtection="0"/>
    <xf numFmtId="0" fontId="19" fillId="0" borderId="0" applyNumberFormat="0" applyFill="0" applyBorder="0" applyAlignment="0" applyProtection="0"/>
    <xf numFmtId="0" fontId="20" fillId="10" borderId="0" applyNumberFormat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13" borderId="16" applyNumberFormat="0" applyAlignment="0" applyProtection="0"/>
    <xf numFmtId="0" fontId="25" fillId="0" borderId="21" applyNumberFormat="0" applyFill="0" applyAlignment="0" applyProtection="0"/>
    <xf numFmtId="0" fontId="26" fillId="28" borderId="0" applyNumberFormat="0" applyBorder="0" applyAlignment="0" applyProtection="0"/>
    <xf numFmtId="0" fontId="18" fillId="29" borderId="22" applyNumberFormat="0" applyFont="0" applyAlignment="0" applyProtection="0"/>
    <xf numFmtId="0" fontId="27" fillId="26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41" fillId="0" borderId="0"/>
    <xf numFmtId="0" fontId="43" fillId="0" borderId="0"/>
    <xf numFmtId="0" fontId="46" fillId="0" borderId="0">
      <alignment vertical="top"/>
    </xf>
    <xf numFmtId="0" fontId="47" fillId="0" borderId="0"/>
    <xf numFmtId="0" fontId="1" fillId="0" borderId="0"/>
    <xf numFmtId="43" fontId="18" fillId="0" borderId="0" applyFont="0" applyFill="0" applyBorder="0" applyAlignment="0" applyProtection="0"/>
  </cellStyleXfs>
  <cellXfs count="30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8" fillId="0" borderId="9" xfId="3" applyNumberFormat="1" applyFont="1" applyBorder="1" applyAlignment="1">
      <alignment horizontal="center" vertical="center" wrapText="1"/>
    </xf>
    <xf numFmtId="49" fontId="8" fillId="0" borderId="11" xfId="3" applyNumberFormat="1" applyFont="1" applyBorder="1" applyAlignment="1">
      <alignment horizontal="left" wrapText="1" indent="1"/>
    </xf>
    <xf numFmtId="49" fontId="10" fillId="0" borderId="12" xfId="3" applyNumberFormat="1" applyFont="1" applyBorder="1" applyAlignment="1">
      <alignment horizontal="left" wrapText="1" indent="1"/>
    </xf>
    <xf numFmtId="49" fontId="8" fillId="0" borderId="12" xfId="3" applyNumberFormat="1" applyFont="1" applyBorder="1" applyAlignment="1">
      <alignment horizontal="left" wrapText="1" indent="1"/>
    </xf>
    <xf numFmtId="49" fontId="10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/>
    </xf>
    <xf numFmtId="49" fontId="10" fillId="0" borderId="12" xfId="3" applyNumberFormat="1" applyFont="1" applyBorder="1" applyAlignment="1">
      <alignment horizontal="left" wrapText="1" indent="3"/>
    </xf>
    <xf numFmtId="49" fontId="8" fillId="0" borderId="12" xfId="3" applyNumberFormat="1" applyFont="1" applyBorder="1" applyAlignment="1">
      <alignment horizontal="left" wrapText="1" indent="2"/>
    </xf>
    <xf numFmtId="49" fontId="10" fillId="0" borderId="12" xfId="3" applyNumberFormat="1" applyFont="1" applyBorder="1" applyAlignment="1">
      <alignment horizontal="left" wrapText="1" indent="2"/>
    </xf>
    <xf numFmtId="49" fontId="8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1" fillId="0" borderId="13" xfId="0" applyNumberFormat="1" applyFont="1" applyBorder="1"/>
    <xf numFmtId="4" fontId="31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2" fillId="4" borderId="1" xfId="0" applyNumberFormat="1" applyFont="1" applyFill="1" applyBorder="1"/>
    <xf numFmtId="4" fontId="31" fillId="6" borderId="1" xfId="2" applyNumberFormat="1" applyFont="1" applyFill="1" applyBorder="1" applyAlignment="1"/>
    <xf numFmtId="4" fontId="31" fillId="6" borderId="13" xfId="0" applyNumberFormat="1" applyFont="1" applyFill="1" applyBorder="1"/>
    <xf numFmtId="4" fontId="31" fillId="0" borderId="13" xfId="4" applyNumberFormat="1" applyFont="1" applyBorder="1"/>
    <xf numFmtId="4" fontId="31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2" fillId="7" borderId="1" xfId="0" applyNumberFormat="1" applyFont="1" applyFill="1" applyBorder="1"/>
    <xf numFmtId="4" fontId="31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2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2" fillId="4" borderId="1" xfId="2" applyNumberFormat="1" applyFont="1" applyFill="1" applyBorder="1" applyAlignment="1"/>
    <xf numFmtId="4" fontId="32" fillId="4" borderId="13" xfId="4" applyNumberFormat="1" applyFont="1" applyFill="1" applyBorder="1"/>
    <xf numFmtId="4" fontId="31" fillId="4" borderId="1" xfId="2" applyNumberFormat="1" applyFont="1" applyFill="1" applyBorder="1" applyAlignment="1"/>
    <xf numFmtId="4" fontId="0" fillId="0" borderId="0" xfId="0" applyNumberFormat="1"/>
    <xf numFmtId="49" fontId="8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9" fillId="0" borderId="9" xfId="3" applyFont="1" applyBorder="1" applyAlignment="1">
      <alignment horizontal="center"/>
    </xf>
    <xf numFmtId="169" fontId="9" fillId="0" borderId="10" xfId="3" applyNumberFormat="1" applyFont="1" applyBorder="1"/>
    <xf numFmtId="169" fontId="9" fillId="0" borderId="11" xfId="3" applyNumberFormat="1" applyFont="1" applyBorder="1"/>
    <xf numFmtId="169" fontId="11" fillId="0" borderId="12" xfId="3" applyNumberFormat="1" applyFont="1" applyBorder="1"/>
    <xf numFmtId="169" fontId="9" fillId="0" borderId="12" xfId="3" applyNumberFormat="1" applyFont="1" applyBorder="1"/>
    <xf numFmtId="169" fontId="11" fillId="0" borderId="9" xfId="3" applyNumberFormat="1" applyFont="1" applyBorder="1"/>
    <xf numFmtId="169" fontId="9" fillId="0" borderId="25" xfId="3" applyNumberFormat="1" applyFont="1" applyBorder="1"/>
    <xf numFmtId="169" fontId="9" fillId="0" borderId="9" xfId="3" applyNumberFormat="1" applyFont="1" applyBorder="1"/>
    <xf numFmtId="171" fontId="0" fillId="0" borderId="0" xfId="0" applyNumberFormat="1"/>
    <xf numFmtId="49" fontId="8" fillId="30" borderId="10" xfId="3" applyNumberFormat="1" applyFont="1" applyFill="1" applyBorder="1" applyAlignment="1">
      <alignment wrapText="1"/>
    </xf>
    <xf numFmtId="169" fontId="9" fillId="30" borderId="10" xfId="3" applyNumberFormat="1" applyFont="1" applyFill="1" applyBorder="1"/>
    <xf numFmtId="49" fontId="8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1" fillId="0" borderId="1" xfId="0" applyNumberFormat="1" applyFont="1" applyBorder="1" applyAlignment="1">
      <alignment vertical="center"/>
    </xf>
    <xf numFmtId="4" fontId="31" fillId="6" borderId="1" xfId="2" applyNumberFormat="1" applyFont="1" applyFill="1" applyBorder="1" applyAlignment="1">
      <alignment vertical="center"/>
    </xf>
    <xf numFmtId="4" fontId="31" fillId="6" borderId="13" xfId="0" applyNumberFormat="1" applyFont="1" applyFill="1" applyBorder="1" applyAlignment="1">
      <alignment vertical="center"/>
    </xf>
    <xf numFmtId="4" fontId="31" fillId="0" borderId="13" xfId="4" applyNumberFormat="1" applyFont="1" applyBorder="1" applyAlignment="1">
      <alignment vertical="center"/>
    </xf>
    <xf numFmtId="4" fontId="31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2" fillId="0" borderId="1" xfId="0" applyNumberFormat="1" applyFont="1" applyBorder="1"/>
    <xf numFmtId="4" fontId="32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2" fillId="0" borderId="1" xfId="2" applyNumberFormat="1" applyFont="1" applyBorder="1" applyAlignment="1"/>
    <xf numFmtId="4" fontId="32" fillId="0" borderId="13" xfId="4" applyNumberFormat="1" applyFont="1" applyBorder="1"/>
    <xf numFmtId="167" fontId="32" fillId="0" borderId="1" xfId="0" applyNumberFormat="1" applyFont="1" applyBorder="1"/>
    <xf numFmtId="43" fontId="32" fillId="0" borderId="1" xfId="0" applyNumberFormat="1" applyFont="1" applyBorder="1"/>
    <xf numFmtId="4" fontId="32" fillId="3" borderId="13" xfId="0" applyNumberFormat="1" applyFont="1" applyFill="1" applyBorder="1"/>
    <xf numFmtId="0" fontId="2" fillId="3" borderId="0" xfId="0" applyFont="1" applyFill="1"/>
    <xf numFmtId="4" fontId="32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3" fillId="0" borderId="13" xfId="0" applyNumberFormat="1" applyFont="1" applyBorder="1" applyAlignment="1">
      <alignment horizontal="right"/>
    </xf>
    <xf numFmtId="4" fontId="34" fillId="0" borderId="13" xfId="0" applyNumberFormat="1" applyFont="1" applyBorder="1" applyAlignment="1">
      <alignment horizontal="right"/>
    </xf>
    <xf numFmtId="4" fontId="36" fillId="0" borderId="13" xfId="47" applyNumberFormat="1" applyFont="1" applyBorder="1"/>
    <xf numFmtId="4" fontId="36" fillId="0" borderId="27" xfId="47" applyNumberFormat="1" applyFont="1" applyBorder="1"/>
    <xf numFmtId="4" fontId="37" fillId="0" borderId="12" xfId="0" applyNumberFormat="1" applyFont="1" applyBorder="1"/>
    <xf numFmtId="4" fontId="37" fillId="31" borderId="12" xfId="0" applyNumberFormat="1" applyFont="1" applyFill="1" applyBorder="1"/>
    <xf numFmtId="164" fontId="38" fillId="0" borderId="13" xfId="1" applyFont="1" applyBorder="1"/>
    <xf numFmtId="4" fontId="39" fillId="6" borderId="13" xfId="0" applyNumberFormat="1" applyFont="1" applyFill="1" applyBorder="1"/>
    <xf numFmtId="4" fontId="39" fillId="0" borderId="13" xfId="0" applyNumberFormat="1" applyFont="1" applyBorder="1"/>
    <xf numFmtId="4" fontId="40" fillId="4" borderId="13" xfId="0" applyNumberFormat="1" applyFont="1" applyFill="1" applyBorder="1"/>
    <xf numFmtId="4" fontId="33" fillId="4" borderId="13" xfId="0" applyNumberFormat="1" applyFont="1" applyFill="1" applyBorder="1"/>
    <xf numFmtId="4" fontId="39" fillId="6" borderId="13" xfId="47" applyNumberFormat="1" applyFont="1" applyFill="1" applyBorder="1"/>
    <xf numFmtId="4" fontId="35" fillId="0" borderId="13" xfId="0" applyNumberFormat="1" applyFont="1" applyBorder="1" applyAlignment="1">
      <alignment horizontal="right"/>
    </xf>
    <xf numFmtId="4" fontId="39" fillId="7" borderId="13" xfId="0" applyNumberFormat="1" applyFont="1" applyFill="1" applyBorder="1"/>
    <xf numFmtId="4" fontId="39" fillId="6" borderId="15" xfId="47" applyNumberFormat="1" applyFont="1" applyFill="1" applyBorder="1"/>
    <xf numFmtId="49" fontId="8" fillId="0" borderId="12" xfId="3" applyNumberFormat="1" applyFont="1" applyBorder="1" applyAlignment="1">
      <alignment horizontal="left" vertical="center" wrapText="1"/>
    </xf>
    <xf numFmtId="169" fontId="9" fillId="0" borderId="12" xfId="3" applyNumberFormat="1" applyFont="1" applyBorder="1" applyAlignment="1">
      <alignment vertical="center"/>
    </xf>
    <xf numFmtId="4" fontId="35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2" fillId="0" borderId="0" xfId="0" applyFont="1"/>
    <xf numFmtId="0" fontId="42" fillId="0" borderId="0" xfId="0" applyFont="1" applyAlignment="1">
      <alignment horizontal="center"/>
    </xf>
    <xf numFmtId="174" fontId="42" fillId="0" borderId="0" xfId="0" applyNumberFormat="1" applyFont="1"/>
    <xf numFmtId="0" fontId="42" fillId="0" borderId="0" xfId="49" applyFont="1"/>
    <xf numFmtId="0" fontId="43" fillId="0" borderId="0" xfId="49" applyFont="1"/>
    <xf numFmtId="0" fontId="44" fillId="0" borderId="0" xfId="0" applyFont="1"/>
    <xf numFmtId="174" fontId="44" fillId="0" borderId="0" xfId="0" applyNumberFormat="1" applyFont="1"/>
    <xf numFmtId="0" fontId="44" fillId="0" borderId="0" xfId="49" applyFont="1"/>
    <xf numFmtId="0" fontId="43" fillId="34" borderId="0" xfId="49" applyFont="1" applyFill="1"/>
    <xf numFmtId="0" fontId="44" fillId="0" borderId="39" xfId="0" applyFont="1" applyBorder="1"/>
    <xf numFmtId="174" fontId="44" fillId="0" borderId="13" xfId="0" applyNumberFormat="1" applyFont="1" applyBorder="1"/>
    <xf numFmtId="175" fontId="44" fillId="0" borderId="13" xfId="0" applyNumberFormat="1" applyFont="1" applyBorder="1"/>
    <xf numFmtId="0" fontId="44" fillId="0" borderId="4" xfId="0" applyFont="1" applyBorder="1"/>
    <xf numFmtId="0" fontId="42" fillId="0" borderId="39" xfId="0" applyFont="1" applyBorder="1"/>
    <xf numFmtId="174" fontId="42" fillId="0" borderId="13" xfId="0" applyNumberFormat="1" applyFont="1" applyBorder="1"/>
    <xf numFmtId="175" fontId="42" fillId="0" borderId="13" xfId="0" applyNumberFormat="1" applyFont="1" applyBorder="1"/>
    <xf numFmtId="0" fontId="42" fillId="0" borderId="4" xfId="0" applyFont="1" applyBorder="1"/>
    <xf numFmtId="0" fontId="42" fillId="0" borderId="39" xfId="0" applyFont="1" applyBorder="1" applyAlignment="1">
      <alignment horizontal="right"/>
    </xf>
    <xf numFmtId="174" fontId="44" fillId="7" borderId="13" xfId="0" applyNumberFormat="1" applyFont="1" applyFill="1" applyBorder="1"/>
    <xf numFmtId="174" fontId="42" fillId="0" borderId="13" xfId="0" applyNumberFormat="1" applyFont="1" applyFill="1" applyBorder="1"/>
    <xf numFmtId="174" fontId="44" fillId="0" borderId="13" xfId="0" applyNumberFormat="1" applyFont="1" applyFill="1" applyBorder="1"/>
    <xf numFmtId="0" fontId="42" fillId="0" borderId="4" xfId="0" applyFont="1" applyBorder="1" applyAlignment="1">
      <alignment wrapText="1"/>
    </xf>
    <xf numFmtId="174" fontId="42" fillId="0" borderId="13" xfId="49" applyNumberFormat="1" applyFont="1" applyBorder="1" applyAlignment="1">
      <alignment horizontal="right"/>
    </xf>
    <xf numFmtId="174" fontId="42" fillId="0" borderId="13" xfId="49" applyNumberFormat="1" applyFont="1" applyFill="1" applyBorder="1" applyAlignment="1">
      <alignment horizontal="right"/>
    </xf>
    <xf numFmtId="0" fontId="43" fillId="7" borderId="0" xfId="49" applyFont="1" applyFill="1"/>
    <xf numFmtId="0" fontId="44" fillId="0" borderId="40" xfId="0" applyFont="1" applyBorder="1"/>
    <xf numFmtId="174" fontId="44" fillId="0" borderId="14" xfId="0" applyNumberFormat="1" applyFont="1" applyBorder="1"/>
    <xf numFmtId="0" fontId="44" fillId="0" borderId="41" xfId="0" applyFont="1" applyBorder="1"/>
    <xf numFmtId="0" fontId="44" fillId="0" borderId="42" xfId="0" applyFont="1" applyBorder="1"/>
    <xf numFmtId="174" fontId="44" fillId="0" borderId="43" xfId="0" applyNumberFormat="1" applyFont="1" applyBorder="1"/>
    <xf numFmtId="175" fontId="44" fillId="0" borderId="43" xfId="0" applyNumberFormat="1" applyFont="1" applyBorder="1"/>
    <xf numFmtId="0" fontId="44" fillId="0" borderId="44" xfId="0" applyFont="1" applyBorder="1"/>
    <xf numFmtId="174" fontId="44" fillId="0" borderId="13" xfId="0" applyNumberFormat="1" applyFont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4" fillId="34" borderId="39" xfId="0" applyFont="1" applyFill="1" applyBorder="1"/>
    <xf numFmtId="174" fontId="44" fillId="34" borderId="13" xfId="0" applyNumberFormat="1" applyFont="1" applyFill="1" applyBorder="1"/>
    <xf numFmtId="175" fontId="44" fillId="34" borderId="13" xfId="0" applyNumberFormat="1" applyFont="1" applyFill="1" applyBorder="1"/>
    <xf numFmtId="0" fontId="45" fillId="34" borderId="4" xfId="0" applyFont="1" applyFill="1" applyBorder="1"/>
    <xf numFmtId="4" fontId="33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48" fillId="0" borderId="0" xfId="0" applyFont="1"/>
    <xf numFmtId="4" fontId="48" fillId="0" borderId="0" xfId="0" applyNumberFormat="1" applyFont="1"/>
    <xf numFmtId="165" fontId="48" fillId="0" borderId="0" xfId="0" applyNumberFormat="1" applyFont="1"/>
    <xf numFmtId="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horizontal="right"/>
    </xf>
    <xf numFmtId="4" fontId="48" fillId="0" borderId="0" xfId="0" applyNumberFormat="1" applyFont="1" applyAlignment="1" applyProtection="1">
      <alignment horizontal="right"/>
      <protection locked="0"/>
    </xf>
    <xf numFmtId="4" fontId="48" fillId="0" borderId="0" xfId="0" applyNumberFormat="1" applyFont="1" applyAlignment="1">
      <alignment horizontal="right"/>
    </xf>
    <xf numFmtId="0" fontId="50" fillId="32" borderId="28" xfId="0" applyFont="1" applyFill="1" applyBorder="1" applyAlignment="1">
      <alignment horizontal="center" vertical="center" wrapText="1"/>
    </xf>
    <xf numFmtId="4" fontId="50" fillId="32" borderId="28" xfId="0" applyNumberFormat="1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left" vertical="center" wrapText="1"/>
    </xf>
    <xf numFmtId="4" fontId="49" fillId="33" borderId="45" xfId="0" applyNumberFormat="1" applyFont="1" applyFill="1" applyBorder="1" applyAlignment="1">
      <alignment horizontal="right" vertical="center" wrapText="1"/>
    </xf>
    <xf numFmtId="4" fontId="50" fillId="33" borderId="45" xfId="0" applyNumberFormat="1" applyFont="1" applyFill="1" applyBorder="1" applyAlignment="1">
      <alignment horizontal="right" vertical="center" wrapText="1"/>
    </xf>
    <xf numFmtId="4" fontId="49" fillId="33" borderId="13" xfId="0" applyNumberFormat="1" applyFont="1" applyFill="1" applyBorder="1" applyAlignment="1">
      <alignment horizontal="right" vertical="center" wrapText="1"/>
    </xf>
    <xf numFmtId="4" fontId="49" fillId="37" borderId="45" xfId="0" applyNumberFormat="1" applyFont="1" applyFill="1" applyBorder="1" applyAlignment="1">
      <alignment horizontal="right" vertical="center" wrapText="1"/>
    </xf>
    <xf numFmtId="0" fontId="49" fillId="5" borderId="28" xfId="0" applyFont="1" applyFill="1" applyBorder="1" applyAlignment="1">
      <alignment horizontal="center" vertical="center" wrapText="1"/>
    </xf>
    <xf numFmtId="0" fontId="49" fillId="5" borderId="28" xfId="0" applyFont="1" applyFill="1" applyBorder="1" applyAlignment="1">
      <alignment horizontal="left" vertical="center" wrapText="1"/>
    </xf>
    <xf numFmtId="4" fontId="49" fillId="5" borderId="45" xfId="0" applyNumberFormat="1" applyFont="1" applyFill="1" applyBorder="1" applyAlignment="1">
      <alignment horizontal="right" vertical="center" wrapText="1"/>
    </xf>
    <xf numFmtId="4" fontId="50" fillId="5" borderId="45" xfId="0" applyNumberFormat="1" applyFont="1" applyFill="1" applyBorder="1" applyAlignment="1">
      <alignment horizontal="right" vertical="center" wrapText="1"/>
    </xf>
    <xf numFmtId="4" fontId="49" fillId="5" borderId="13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horizontal="left" vertical="center" wrapText="1"/>
    </xf>
    <xf numFmtId="4" fontId="51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/>
    <xf numFmtId="4" fontId="48" fillId="0" borderId="48" xfId="0" applyNumberFormat="1" applyFont="1" applyBorder="1"/>
    <xf numFmtId="4" fontId="48" fillId="0" borderId="50" xfId="0" applyNumberFormat="1" applyFont="1" applyBorder="1"/>
    <xf numFmtId="4" fontId="48" fillId="0" borderId="49" xfId="0" applyNumberFormat="1" applyFont="1" applyBorder="1"/>
    <xf numFmtId="0" fontId="48" fillId="0" borderId="28" xfId="0" applyFont="1" applyBorder="1" applyAlignment="1">
      <alignment horizontal="center" vertical="center" wrapText="1"/>
    </xf>
    <xf numFmtId="4" fontId="48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 applyAlignment="1">
      <alignment horizontal="right" vertical="center" wrapText="1"/>
    </xf>
    <xf numFmtId="0" fontId="51" fillId="5" borderId="28" xfId="0" applyFont="1" applyFill="1" applyBorder="1" applyAlignment="1">
      <alignment horizontal="center" vertical="center" wrapText="1"/>
    </xf>
    <xf numFmtId="4" fontId="51" fillId="0" borderId="13" xfId="0" applyNumberFormat="1" applyFont="1" applyBorder="1" applyAlignment="1">
      <alignment horizontal="right" vertical="center" wrapText="1"/>
    </xf>
    <xf numFmtId="4" fontId="51" fillId="7" borderId="45" xfId="0" applyNumberFormat="1" applyFont="1" applyFill="1" applyBorder="1" applyAlignment="1">
      <alignment horizontal="right" vertical="center" wrapText="1"/>
    </xf>
    <xf numFmtId="4" fontId="48" fillId="0" borderId="49" xfId="0" applyNumberFormat="1" applyFont="1" applyBorder="1" applyAlignment="1">
      <alignment vertical="center"/>
    </xf>
    <xf numFmtId="4" fontId="48" fillId="7" borderId="45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left" vertical="center" wrapText="1"/>
    </xf>
    <xf numFmtId="164" fontId="48" fillId="0" borderId="0" xfId="1" applyFont="1" applyAlignment="1">
      <alignment horizontal="right"/>
    </xf>
    <xf numFmtId="4" fontId="51" fillId="0" borderId="46" xfId="0" applyNumberFormat="1" applyFont="1" applyBorder="1" applyAlignment="1">
      <alignment horizontal="right" vertical="center" wrapText="1"/>
    </xf>
    <xf numFmtId="4" fontId="49" fillId="32" borderId="47" xfId="0" applyNumberFormat="1" applyFont="1" applyFill="1" applyBorder="1" applyAlignment="1">
      <alignment horizontal="right" vertical="center" wrapText="1"/>
    </xf>
    <xf numFmtId="4" fontId="50" fillId="32" borderId="47" xfId="0" applyNumberFormat="1" applyFont="1" applyFill="1" applyBorder="1" applyAlignment="1">
      <alignment horizontal="right" vertical="center" wrapText="1"/>
    </xf>
    <xf numFmtId="4" fontId="49" fillId="32" borderId="13" xfId="0" applyNumberFormat="1" applyFont="1" applyFill="1" applyBorder="1" applyAlignment="1">
      <alignment horizontal="right" vertical="center" wrapText="1"/>
    </xf>
    <xf numFmtId="4" fontId="49" fillId="38" borderId="47" xfId="0" applyNumberFormat="1" applyFont="1" applyFill="1" applyBorder="1" applyAlignment="1">
      <alignment horizontal="right" vertical="center" wrapText="1"/>
    </xf>
    <xf numFmtId="0" fontId="49" fillId="4" borderId="28" xfId="0" applyFont="1" applyFill="1" applyBorder="1" applyAlignment="1">
      <alignment horizontal="left" vertical="center" wrapText="1"/>
    </xf>
    <xf numFmtId="0" fontId="49" fillId="0" borderId="0" xfId="0" applyFont="1"/>
    <xf numFmtId="4" fontId="49" fillId="0" borderId="0" xfId="0" applyNumberFormat="1" applyFont="1"/>
    <xf numFmtId="4" fontId="48" fillId="0" borderId="0" xfId="0" applyNumberFormat="1" applyFont="1" applyAlignment="1">
      <alignment horizontal="center"/>
    </xf>
    <xf numFmtId="0" fontId="48" fillId="0" borderId="0" xfId="0" applyFont="1" applyAlignment="1">
      <alignment horizontal="center"/>
    </xf>
    <xf numFmtId="165" fontId="48" fillId="0" borderId="0" xfId="0" applyNumberFormat="1" applyFont="1" applyAlignment="1">
      <alignment horizontal="center"/>
    </xf>
    <xf numFmtId="4" fontId="50" fillId="32" borderId="13" xfId="0" applyNumberFormat="1" applyFont="1" applyFill="1" applyBorder="1" applyAlignment="1">
      <alignment horizontal="right" vertical="center" wrapText="1"/>
    </xf>
    <xf numFmtId="0" fontId="49" fillId="32" borderId="55" xfId="0" applyFont="1" applyFill="1" applyBorder="1" applyAlignment="1">
      <alignment horizontal="center" vertical="center" wrapText="1"/>
    </xf>
    <xf numFmtId="0" fontId="49" fillId="32" borderId="56" xfId="0" applyFont="1" applyFill="1" applyBorder="1" applyAlignment="1">
      <alignment horizontal="center" vertical="center" wrapText="1"/>
    </xf>
    <xf numFmtId="4" fontId="49" fillId="32" borderId="56" xfId="0" applyNumberFormat="1" applyFont="1" applyFill="1" applyBorder="1" applyAlignment="1">
      <alignment horizontal="center" vertical="center" wrapText="1"/>
    </xf>
    <xf numFmtId="0" fontId="49" fillId="33" borderId="57" xfId="0" applyFont="1" applyFill="1" applyBorder="1" applyAlignment="1">
      <alignment horizontal="center" vertical="center" wrapText="1"/>
    </xf>
    <xf numFmtId="4" fontId="49" fillId="33" borderId="28" xfId="0" applyNumberFormat="1" applyFont="1" applyFill="1" applyBorder="1" applyAlignment="1">
      <alignment horizontal="right" vertical="center" wrapText="1"/>
    </xf>
    <xf numFmtId="4" fontId="49" fillId="37" borderId="28" xfId="0" applyNumberFormat="1" applyFont="1" applyFill="1" applyBorder="1" applyAlignment="1">
      <alignment horizontal="right" vertical="center" wrapText="1"/>
    </xf>
    <xf numFmtId="4" fontId="49" fillId="33" borderId="28" xfId="0" applyNumberFormat="1" applyFont="1" applyFill="1" applyBorder="1"/>
    <xf numFmtId="0" fontId="49" fillId="4" borderId="57" xfId="0" applyFont="1" applyFill="1" applyBorder="1" applyAlignment="1">
      <alignment horizontal="center" vertical="center" wrapText="1"/>
    </xf>
    <xf numFmtId="4" fontId="49" fillId="4" borderId="28" xfId="0" applyNumberFormat="1" applyFont="1" applyFill="1" applyBorder="1" applyAlignment="1">
      <alignment horizontal="right" vertical="center" wrapText="1"/>
    </xf>
    <xf numFmtId="4" fontId="49" fillId="36" borderId="28" xfId="0" applyNumberFormat="1" applyFont="1" applyFill="1" applyBorder="1" applyAlignment="1">
      <alignment horizontal="right" vertical="center" wrapText="1"/>
    </xf>
    <xf numFmtId="4" fontId="49" fillId="40" borderId="28" xfId="0" applyNumberFormat="1" applyFont="1" applyFill="1" applyBorder="1"/>
    <xf numFmtId="0" fontId="49" fillId="5" borderId="57" xfId="0" applyFont="1" applyFill="1" applyBorder="1" applyAlignment="1">
      <alignment horizontal="center" vertical="center" wrapText="1"/>
    </xf>
    <xf numFmtId="4" fontId="49" fillId="5" borderId="28" xfId="0" applyNumberFormat="1" applyFont="1" applyFill="1" applyBorder="1" applyAlignment="1">
      <alignment horizontal="right" vertical="center" wrapText="1"/>
    </xf>
    <xf numFmtId="4" fontId="49" fillId="5" borderId="28" xfId="0" applyNumberFormat="1" applyFont="1" applyFill="1" applyBorder="1"/>
    <xf numFmtId="0" fontId="48" fillId="0" borderId="57" xfId="0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right" vertical="center" wrapText="1"/>
    </xf>
    <xf numFmtId="4" fontId="48" fillId="0" borderId="28" xfId="0" applyNumberFormat="1" applyFont="1" applyBorder="1"/>
    <xf numFmtId="4" fontId="50" fillId="5" borderId="28" xfId="0" applyNumberFormat="1" applyFont="1" applyFill="1" applyBorder="1" applyAlignment="1">
      <alignment horizontal="right" vertical="center" wrapText="1"/>
    </xf>
    <xf numFmtId="4" fontId="48" fillId="0" borderId="28" xfId="0" applyNumberFormat="1" applyFont="1" applyBorder="1" applyAlignment="1">
      <alignment horizontal="right" vertical="center" wrapText="1"/>
    </xf>
    <xf numFmtId="4" fontId="50" fillId="4" borderId="28" xfId="0" applyNumberFormat="1" applyFont="1" applyFill="1" applyBorder="1" applyAlignment="1">
      <alignment horizontal="right" vertical="center" wrapText="1"/>
    </xf>
    <xf numFmtId="4" fontId="50" fillId="36" borderId="28" xfId="0" applyNumberFormat="1" applyFont="1" applyFill="1" applyBorder="1" applyAlignment="1">
      <alignment horizontal="right" vertical="center" wrapText="1"/>
    </xf>
    <xf numFmtId="164" fontId="48" fillId="0" borderId="28" xfId="1" applyFont="1" applyBorder="1" applyAlignment="1">
      <alignment horizontal="right" vertical="center"/>
    </xf>
    <xf numFmtId="4" fontId="48" fillId="7" borderId="28" xfId="0" applyNumberFormat="1" applyFont="1" applyFill="1" applyBorder="1" applyAlignment="1">
      <alignment horizontal="right" vertical="center" wrapText="1"/>
    </xf>
    <xf numFmtId="4" fontId="51" fillId="7" borderId="28" xfId="0" applyNumberFormat="1" applyFont="1" applyFill="1" applyBorder="1" applyAlignment="1">
      <alignment horizontal="right" vertical="center" wrapText="1"/>
    </xf>
    <xf numFmtId="4" fontId="50" fillId="33" borderId="28" xfId="0" applyNumberFormat="1" applyFont="1" applyFill="1" applyBorder="1" applyAlignment="1">
      <alignment horizontal="right" vertical="center" wrapText="1"/>
    </xf>
    <xf numFmtId="0" fontId="48" fillId="7" borderId="57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vertical="center"/>
    </xf>
    <xf numFmtId="0" fontId="48" fillId="5" borderId="57" xfId="0" applyFont="1" applyFill="1" applyBorder="1" applyAlignment="1">
      <alignment horizontal="center" vertical="center" wrapText="1"/>
    </xf>
    <xf numFmtId="4" fontId="49" fillId="32" borderId="59" xfId="0" applyNumberFormat="1" applyFont="1" applyFill="1" applyBorder="1" applyAlignment="1">
      <alignment horizontal="right" vertical="center" wrapText="1"/>
    </xf>
    <xf numFmtId="4" fontId="50" fillId="32" borderId="59" xfId="0" applyNumberFormat="1" applyFont="1" applyFill="1" applyBorder="1" applyAlignment="1">
      <alignment horizontal="right" vertical="center" wrapText="1"/>
    </xf>
    <xf numFmtId="4" fontId="49" fillId="38" borderId="59" xfId="0" applyNumberFormat="1" applyFont="1" applyFill="1" applyBorder="1" applyAlignment="1">
      <alignment horizontal="right" vertical="center" wrapText="1"/>
    </xf>
    <xf numFmtId="0" fontId="49" fillId="32" borderId="60" xfId="0" applyFont="1" applyFill="1" applyBorder="1" applyAlignment="1">
      <alignment horizontal="center" vertical="center" wrapText="1"/>
    </xf>
    <xf numFmtId="4" fontId="49" fillId="33" borderId="29" xfId="0" applyNumberFormat="1" applyFont="1" applyFill="1" applyBorder="1"/>
    <xf numFmtId="4" fontId="49" fillId="40" borderId="29" xfId="0" applyNumberFormat="1" applyFont="1" applyFill="1" applyBorder="1"/>
    <xf numFmtId="4" fontId="49" fillId="5" borderId="29" xfId="0" applyNumberFormat="1" applyFont="1" applyFill="1" applyBorder="1"/>
    <xf numFmtId="4" fontId="48" fillId="0" borderId="29" xfId="0" applyNumberFormat="1" applyFont="1" applyBorder="1"/>
    <xf numFmtId="4" fontId="50" fillId="36" borderId="29" xfId="0" applyNumberFormat="1" applyFont="1" applyFill="1" applyBorder="1" applyAlignment="1">
      <alignment horizontal="right" vertical="center" wrapText="1"/>
    </xf>
    <xf numFmtId="4" fontId="49" fillId="36" borderId="29" xfId="0" applyNumberFormat="1" applyFont="1" applyFill="1" applyBorder="1" applyAlignment="1">
      <alignment horizontal="right" vertical="center" wrapText="1"/>
    </xf>
    <xf numFmtId="4" fontId="49" fillId="32" borderId="61" xfId="0" applyNumberFormat="1" applyFont="1" applyFill="1" applyBorder="1"/>
    <xf numFmtId="0" fontId="49" fillId="32" borderId="62" xfId="0" applyFont="1" applyFill="1" applyBorder="1" applyAlignment="1">
      <alignment horizontal="center" vertical="center" wrapText="1"/>
    </xf>
    <xf numFmtId="4" fontId="49" fillId="33" borderId="49" xfId="0" applyNumberFormat="1" applyFont="1" applyFill="1" applyBorder="1" applyAlignment="1">
      <alignment horizontal="right" vertical="center" wrapText="1"/>
    </xf>
    <xf numFmtId="4" fontId="49" fillId="4" borderId="49" xfId="0" applyNumberFormat="1" applyFont="1" applyFill="1" applyBorder="1" applyAlignment="1">
      <alignment horizontal="right" vertical="center" wrapText="1"/>
    </xf>
    <xf numFmtId="4" fontId="49" fillId="5" borderId="49" xfId="0" applyNumberFormat="1" applyFont="1" applyFill="1" applyBorder="1" applyAlignment="1">
      <alignment horizontal="right" vertical="center" wrapText="1"/>
    </xf>
    <xf numFmtId="4" fontId="51" fillId="0" borderId="49" xfId="0" applyNumberFormat="1" applyFont="1" applyBorder="1" applyAlignment="1">
      <alignment horizontal="right" vertical="center" wrapText="1"/>
    </xf>
    <xf numFmtId="4" fontId="50" fillId="0" borderId="49" xfId="0" applyNumberFormat="1" applyFont="1" applyBorder="1" applyAlignment="1">
      <alignment horizontal="right" vertical="center" wrapText="1"/>
    </xf>
    <xf numFmtId="4" fontId="50" fillId="36" borderId="57" xfId="0" applyNumberFormat="1" applyFont="1" applyFill="1" applyBorder="1" applyAlignment="1">
      <alignment horizontal="right" vertical="center" wrapText="1"/>
    </xf>
    <xf numFmtId="4" fontId="49" fillId="32" borderId="51" xfId="0" applyNumberFormat="1" applyFont="1" applyFill="1" applyBorder="1" applyAlignment="1">
      <alignment horizontal="right" vertical="center" wrapText="1"/>
    </xf>
    <xf numFmtId="166" fontId="53" fillId="32" borderId="1" xfId="3" applyFont="1" applyFill="1" applyBorder="1" applyAlignment="1">
      <alignment horizontal="center" vertical="center" wrapText="1"/>
    </xf>
    <xf numFmtId="166" fontId="53" fillId="32" borderId="6" xfId="3" applyFont="1" applyFill="1" applyBorder="1" applyAlignment="1">
      <alignment horizontal="center" vertical="center" wrapText="1"/>
    </xf>
    <xf numFmtId="166" fontId="53" fillId="32" borderId="3" xfId="3" applyFont="1" applyFill="1" applyBorder="1" applyAlignment="1">
      <alignment horizontal="center" vertical="center" wrapText="1"/>
    </xf>
    <xf numFmtId="0" fontId="49" fillId="32" borderId="13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left" vertical="center" wrapText="1"/>
    </xf>
    <xf numFmtId="4" fontId="50" fillId="4" borderId="13" xfId="0" applyNumberFormat="1" applyFont="1" applyFill="1" applyBorder="1"/>
    <xf numFmtId="4" fontId="50" fillId="39" borderId="13" xfId="0" applyNumberFormat="1" applyFont="1" applyFill="1" applyBorder="1"/>
    <xf numFmtId="0" fontId="48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left" vertical="center" wrapText="1"/>
    </xf>
    <xf numFmtId="4" fontId="51" fillId="6" borderId="13" xfId="0" applyNumberFormat="1" applyFont="1" applyFill="1" applyBorder="1"/>
    <xf numFmtId="4" fontId="51" fillId="0" borderId="15" xfId="0" applyNumberFormat="1" applyFont="1" applyFill="1" applyBorder="1"/>
    <xf numFmtId="4" fontId="48" fillId="0" borderId="1" xfId="0" applyNumberFormat="1" applyFont="1" applyBorder="1" applyAlignment="1">
      <alignment horizontal="right" vertical="center" wrapText="1"/>
    </xf>
    <xf numFmtId="4" fontId="51" fillId="7" borderId="13" xfId="0" applyNumberFormat="1" applyFont="1" applyFill="1" applyBorder="1"/>
    <xf numFmtId="4" fontId="51" fillId="0" borderId="13" xfId="0" applyNumberFormat="1" applyFont="1" applyBorder="1"/>
    <xf numFmtId="4" fontId="50" fillId="7" borderId="13" xfId="0" applyNumberFormat="1" applyFont="1" applyFill="1" applyBorder="1"/>
    <xf numFmtId="4" fontId="51" fillId="0" borderId="15" xfId="0" applyNumberFormat="1" applyFont="1" applyBorder="1"/>
    <xf numFmtId="4" fontId="51" fillId="6" borderId="15" xfId="0" applyNumberFormat="1" applyFont="1" applyFill="1" applyBorder="1"/>
    <xf numFmtId="0" fontId="49" fillId="4" borderId="1" xfId="0" applyFont="1" applyFill="1" applyBorder="1" applyAlignment="1">
      <alignment horizontal="center" vertical="center" wrapText="1"/>
    </xf>
    <xf numFmtId="4" fontId="50" fillId="4" borderId="15" xfId="0" applyNumberFormat="1" applyFont="1" applyFill="1" applyBorder="1"/>
    <xf numFmtId="4" fontId="49" fillId="4" borderId="1" xfId="0" applyNumberFormat="1" applyFont="1" applyFill="1" applyBorder="1" applyAlignment="1">
      <alignment horizontal="right" vertical="center" wrapText="1"/>
    </xf>
    <xf numFmtId="0" fontId="48" fillId="7" borderId="1" xfId="0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left" vertical="center" wrapText="1"/>
    </xf>
    <xf numFmtId="4" fontId="50" fillId="35" borderId="13" xfId="0" applyNumberFormat="1" applyFont="1" applyFill="1" applyBorder="1"/>
    <xf numFmtId="0" fontId="49" fillId="32" borderId="28" xfId="0" applyFont="1" applyFill="1" applyBorder="1" applyAlignment="1">
      <alignment horizontal="center" vertical="center" wrapText="1"/>
    </xf>
    <xf numFmtId="10" fontId="48" fillId="0" borderId="0" xfId="46" applyNumberFormat="1" applyFont="1"/>
    <xf numFmtId="0" fontId="49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0" fontId="52" fillId="0" borderId="30" xfId="0" applyFont="1" applyBorder="1" applyAlignment="1">
      <alignment horizontal="center" vertical="center" wrapText="1"/>
    </xf>
    <xf numFmtId="0" fontId="49" fillId="32" borderId="58" xfId="0" applyFont="1" applyFill="1" applyBorder="1" applyAlignment="1">
      <alignment horizontal="center" vertical="center" wrapText="1"/>
    </xf>
    <xf numFmtId="0" fontId="48" fillId="32" borderId="59" xfId="0" applyFont="1" applyFill="1" applyBorder="1" applyAlignment="1">
      <alignment horizontal="center" vertical="center" wrapText="1"/>
    </xf>
    <xf numFmtId="0" fontId="52" fillId="7" borderId="52" xfId="0" applyFont="1" applyFill="1" applyBorder="1" applyAlignment="1">
      <alignment horizontal="center" vertical="center" wrapText="1"/>
    </xf>
    <xf numFmtId="0" fontId="52" fillId="7" borderId="53" xfId="0" applyFont="1" applyFill="1" applyBorder="1" applyAlignment="1">
      <alignment horizontal="center" vertical="center" wrapText="1"/>
    </xf>
    <xf numFmtId="0" fontId="52" fillId="7" borderId="54" xfId="0" applyFont="1" applyFill="1" applyBorder="1" applyAlignment="1">
      <alignment horizontal="center" vertical="center" wrapText="1"/>
    </xf>
    <xf numFmtId="0" fontId="49" fillId="32" borderId="1" xfId="0" applyFont="1" applyFill="1" applyBorder="1" applyAlignment="1">
      <alignment horizontal="center" vertical="center" wrapText="1"/>
    </xf>
    <xf numFmtId="0" fontId="49" fillId="32" borderId="5" xfId="0" applyFont="1" applyFill="1" applyBorder="1" applyAlignment="1">
      <alignment horizontal="center" vertical="center" wrapText="1"/>
    </xf>
    <xf numFmtId="0" fontId="49" fillId="32" borderId="8" xfId="0" applyFont="1" applyFill="1" applyBorder="1" applyAlignment="1">
      <alignment horizontal="center" vertical="center" wrapText="1"/>
    </xf>
    <xf numFmtId="0" fontId="44" fillId="0" borderId="33" xfId="0" applyFont="1" applyBorder="1" applyAlignment="1">
      <alignment horizontal="center" wrapText="1"/>
    </xf>
    <xf numFmtId="0" fontId="44" fillId="0" borderId="37" xfId="0" applyFont="1" applyBorder="1" applyAlignment="1">
      <alignment horizontal="center" wrapText="1"/>
    </xf>
    <xf numFmtId="174" fontId="44" fillId="7" borderId="31" xfId="0" applyNumberFormat="1" applyFont="1" applyFill="1" applyBorder="1" applyAlignment="1">
      <alignment horizontal="center"/>
    </xf>
    <xf numFmtId="174" fontId="44" fillId="7" borderId="32" xfId="0" applyNumberFormat="1" applyFont="1" applyFill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4" fillId="0" borderId="38" xfId="0" applyFont="1" applyBorder="1" applyAlignment="1">
      <alignment horizontal="center"/>
    </xf>
    <xf numFmtId="0" fontId="44" fillId="0" borderId="34" xfId="0" applyFont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44" fillId="0" borderId="34" xfId="49" applyFont="1" applyBorder="1" applyAlignment="1">
      <alignment horizontal="center"/>
    </xf>
    <xf numFmtId="0" fontId="44" fillId="0" borderId="35" xfId="49" applyFont="1" applyBorder="1" applyAlignment="1">
      <alignment horizontal="center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7" fillId="3" borderId="1" xfId="3" applyFont="1" applyFill="1" applyBorder="1" applyAlignment="1">
      <alignment horizontal="center" vertical="center" wrapText="1"/>
    </xf>
    <xf numFmtId="166" fontId="7" fillId="3" borderId="6" xfId="3" applyFont="1" applyFill="1" applyBorder="1" applyAlignment="1">
      <alignment horizontal="center" vertical="center" wrapText="1"/>
    </xf>
    <xf numFmtId="166" fontId="7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7" fillId="3" borderId="15" xfId="3" applyFont="1" applyFill="1" applyBorder="1" applyAlignment="1">
      <alignment horizontal="center" vertical="center" wrapText="1"/>
    </xf>
    <xf numFmtId="166" fontId="7" fillId="3" borderId="26" xfId="3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7" fillId="3" borderId="3" xfId="3" applyFont="1" applyFill="1" applyBorder="1" applyAlignment="1">
      <alignment horizontal="center" vertical="center" wrapText="1"/>
    </xf>
    <xf numFmtId="166" fontId="7" fillId="3" borderId="2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</cellXfs>
  <cellStyles count="54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Comma 2" xfId="53" xr:uid="{00000000-0005-0000-0000-000000000000}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2 3" xfId="52" xr:uid="{00000000-0005-0000-0000-000002000000}"/>
    <cellStyle name="Normal 3" xfId="4" xr:uid="{00000000-0005-0000-0000-000029000000}"/>
    <cellStyle name="Normal 4" xfId="48" xr:uid="{00000000-0005-0000-0000-00002A000000}"/>
    <cellStyle name="Normal 5" xfId="51" xr:uid="{00000000-0005-0000-0000-000061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tabSelected="1" zoomScaleNormal="100" workbookViewId="0">
      <pane xSplit="2" ySplit="2" topLeftCell="C39" activePane="bottomRight" state="frozen"/>
      <selection pane="topRight" activeCell="C1" sqref="C1"/>
      <selection pane="bottomLeft" activeCell="A2" sqref="A2"/>
      <selection pane="bottomRight" activeCell="B59" sqref="B59"/>
    </sheetView>
  </sheetViews>
  <sheetFormatPr defaultRowHeight="14.25" x14ac:dyDescent="0.2"/>
  <cols>
    <col min="1" max="1" width="13.7109375" style="146" customWidth="1"/>
    <col min="2" max="2" width="81.28515625" style="146" bestFit="1" customWidth="1"/>
    <col min="3" max="19" width="15.7109375" style="151" customWidth="1"/>
    <col min="20" max="20" width="17.28515625" style="151" bestFit="1" customWidth="1"/>
    <col min="21" max="27" width="15.7109375" style="151" customWidth="1"/>
    <col min="28" max="28" width="17.28515625" style="146" bestFit="1" customWidth="1"/>
    <col min="29" max="29" width="23.140625" style="146" customWidth="1"/>
    <col min="30" max="30" width="18.7109375" style="146" bestFit="1" customWidth="1"/>
    <col min="31" max="31" width="11.7109375" style="146" bestFit="1" customWidth="1"/>
    <col min="32" max="41" width="9.140625" style="146"/>
    <col min="42" max="42" width="16.85546875" style="146" customWidth="1"/>
    <col min="43" max="16384" width="9.140625" style="146"/>
  </cols>
  <sheetData>
    <row r="1" spans="1:31" ht="19.899999999999999" customHeight="1" x14ac:dyDescent="0.2">
      <c r="A1" s="271" t="s">
        <v>326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</row>
    <row r="2" spans="1:31" x14ac:dyDescent="0.2">
      <c r="A2" s="267" t="s">
        <v>442</v>
      </c>
      <c r="B2" s="154" t="s">
        <v>200</v>
      </c>
      <c r="C2" s="154" t="s">
        <v>2</v>
      </c>
      <c r="D2" s="154" t="s">
        <v>3</v>
      </c>
      <c r="E2" s="154" t="s">
        <v>4</v>
      </c>
      <c r="F2" s="154" t="s">
        <v>5</v>
      </c>
      <c r="G2" s="154" t="s">
        <v>6</v>
      </c>
      <c r="H2" s="154" t="s">
        <v>22</v>
      </c>
      <c r="I2" s="154" t="s">
        <v>7</v>
      </c>
      <c r="J2" s="154" t="s">
        <v>8</v>
      </c>
      <c r="K2" s="154" t="s">
        <v>9</v>
      </c>
      <c r="L2" s="154" t="s">
        <v>10</v>
      </c>
      <c r="M2" s="154" t="s">
        <v>11</v>
      </c>
      <c r="N2" s="154" t="s">
        <v>12</v>
      </c>
      <c r="O2" s="155" t="s">
        <v>13</v>
      </c>
      <c r="P2" s="154" t="s">
        <v>14</v>
      </c>
      <c r="Q2" s="154" t="s">
        <v>15</v>
      </c>
      <c r="R2" s="154" t="s">
        <v>16</v>
      </c>
      <c r="S2" s="154" t="s">
        <v>17</v>
      </c>
      <c r="T2" s="154" t="s">
        <v>18</v>
      </c>
      <c r="U2" s="154" t="s">
        <v>19</v>
      </c>
      <c r="V2" s="154" t="s">
        <v>20</v>
      </c>
      <c r="W2" s="154" t="s">
        <v>21</v>
      </c>
      <c r="X2" s="154" t="s">
        <v>23</v>
      </c>
      <c r="Y2" s="154" t="s">
        <v>24</v>
      </c>
      <c r="Z2" s="154" t="s">
        <v>25</v>
      </c>
      <c r="AA2" s="154" t="s">
        <v>325</v>
      </c>
      <c r="AB2" s="154" t="s">
        <v>26</v>
      </c>
    </row>
    <row r="3" spans="1:31" x14ac:dyDescent="0.2">
      <c r="A3" s="156">
        <v>71</v>
      </c>
      <c r="B3" s="157" t="s">
        <v>201</v>
      </c>
      <c r="C3" s="158">
        <f t="shared" ref="C3:Y3" si="0">C4+C9+C13+C33</f>
        <v>1529664.7999999998</v>
      </c>
      <c r="D3" s="158">
        <f t="shared" si="0"/>
        <v>33659025.399999999</v>
      </c>
      <c r="E3" s="158">
        <f t="shared" si="0"/>
        <v>8916698.040000001</v>
      </c>
      <c r="F3" s="158">
        <f t="shared" si="0"/>
        <v>12435694.770000001</v>
      </c>
      <c r="G3" s="158">
        <f t="shared" si="0"/>
        <v>55623297.699999996</v>
      </c>
      <c r="H3" s="158">
        <f t="shared" si="0"/>
        <v>6525035.8300000001</v>
      </c>
      <c r="I3" s="159">
        <f>I4+I9+I13+I33</f>
        <v>4947002.8000000007</v>
      </c>
      <c r="J3" s="158">
        <f t="shared" si="0"/>
        <v>621201.31000000006</v>
      </c>
      <c r="K3" s="158">
        <f t="shared" si="0"/>
        <v>29830482.539999999</v>
      </c>
      <c r="L3" s="158">
        <f t="shared" si="0"/>
        <v>4308163.3599999994</v>
      </c>
      <c r="M3" s="158">
        <f t="shared" si="0"/>
        <v>31458365.870000005</v>
      </c>
      <c r="N3" s="158">
        <f t="shared" si="0"/>
        <v>2546524.2800000003</v>
      </c>
      <c r="O3" s="158">
        <f t="shared" si="0"/>
        <v>24108031.91</v>
      </c>
      <c r="P3" s="158">
        <f t="shared" si="0"/>
        <v>524651.1</v>
      </c>
      <c r="Q3" s="158">
        <f t="shared" si="0"/>
        <v>2294717.1399999997</v>
      </c>
      <c r="R3" s="158">
        <f t="shared" si="0"/>
        <v>4366555.07</v>
      </c>
      <c r="S3" s="158">
        <f t="shared" si="0"/>
        <v>17719924.110000003</v>
      </c>
      <c r="T3" s="158">
        <f t="shared" si="0"/>
        <v>120557101.01000001</v>
      </c>
      <c r="U3" s="158">
        <f>U4+U9+U13+U33</f>
        <v>4981996.8399999989</v>
      </c>
      <c r="V3" s="160">
        <f t="shared" si="0"/>
        <v>23529428.940000001</v>
      </c>
      <c r="W3" s="158">
        <f t="shared" si="0"/>
        <v>11246028.220000001</v>
      </c>
      <c r="X3" s="158">
        <f t="shared" si="0"/>
        <v>3004639.4400000004</v>
      </c>
      <c r="Y3" s="161">
        <f t="shared" si="0"/>
        <v>1012592.9400000001</v>
      </c>
      <c r="Z3" s="161">
        <f t="shared" ref="Z3:AA3" si="1">Z4+Z9+Z13+Z33</f>
        <v>3335421.95</v>
      </c>
      <c r="AA3" s="161">
        <f t="shared" si="1"/>
        <v>5379388.4000000004</v>
      </c>
      <c r="AB3" s="158">
        <f>AB4+AB9+AB13+AB33</f>
        <v>414461633.77000004</v>
      </c>
      <c r="AC3" s="147"/>
      <c r="AD3" s="148"/>
      <c r="AE3" s="147"/>
    </row>
    <row r="4" spans="1:31" x14ac:dyDescent="0.2">
      <c r="A4" s="162">
        <v>711</v>
      </c>
      <c r="B4" s="163" t="s">
        <v>202</v>
      </c>
      <c r="C4" s="164">
        <f t="shared" ref="C4" si="2">SUM(C5:C8)</f>
        <v>1022309.99</v>
      </c>
      <c r="D4" s="164">
        <f>SUM(D5:D8)</f>
        <v>20466579.320000004</v>
      </c>
      <c r="E4" s="164">
        <f>SUM(E5:E8)</f>
        <v>7618340.2400000002</v>
      </c>
      <c r="F4" s="164">
        <f>SUM(F5:F8)</f>
        <v>10692697.460000001</v>
      </c>
      <c r="G4" s="164">
        <f t="shared" ref="G4" si="3">SUM(G5:G8)</f>
        <v>45152058.549999997</v>
      </c>
      <c r="H4" s="164">
        <f>SUM(H5:H8)</f>
        <v>4929871.58</v>
      </c>
      <c r="I4" s="165">
        <f t="shared" ref="I4" si="4">SUM(I5:I8)</f>
        <v>4071570.08</v>
      </c>
      <c r="J4" s="164">
        <f>SUM(J5:J8)</f>
        <v>400223.16000000003</v>
      </c>
      <c r="K4" s="164">
        <f>SUM(K5:K8)</f>
        <v>24198363.449999999</v>
      </c>
      <c r="L4" s="164">
        <f t="shared" ref="L4" si="5">SUM(L5:L8)</f>
        <v>2941588.0999999996</v>
      </c>
      <c r="M4" s="164">
        <f t="shared" ref="M4:S4" si="6">SUM(M5:M8)</f>
        <v>19401810.98</v>
      </c>
      <c r="N4" s="164">
        <f t="shared" si="6"/>
        <v>2277518.7400000002</v>
      </c>
      <c r="O4" s="164">
        <f t="shared" si="6"/>
        <v>18878092.760000002</v>
      </c>
      <c r="P4" s="164">
        <f t="shared" si="6"/>
        <v>411355.36</v>
      </c>
      <c r="Q4" s="164">
        <f t="shared" si="6"/>
        <v>1515999.42</v>
      </c>
      <c r="R4" s="164">
        <f t="shared" si="6"/>
        <v>3430017.9499999997</v>
      </c>
      <c r="S4" s="164">
        <f t="shared" si="6"/>
        <v>10546727.35</v>
      </c>
      <c r="T4" s="164">
        <f t="shared" ref="T4:V4" si="7">SUM(T5:T8)</f>
        <v>82726726.840000004</v>
      </c>
      <c r="U4" s="164">
        <f t="shared" ref="U4" si="8">SUM(U5:U8)</f>
        <v>3173205.6199999996</v>
      </c>
      <c r="V4" s="166">
        <f t="shared" si="7"/>
        <v>19976171.5</v>
      </c>
      <c r="W4" s="164">
        <f>SUM(W5:W8)</f>
        <v>7469446.1500000004</v>
      </c>
      <c r="X4" s="164">
        <f t="shared" ref="X4" si="9">SUM(X5:X8)</f>
        <v>1990597.4500000002</v>
      </c>
      <c r="Y4" s="164">
        <f>SUM(Y5:Y8)</f>
        <v>944313.53</v>
      </c>
      <c r="Z4" s="164">
        <f t="shared" ref="Z4:AA4" si="10">SUM(Z5:Z8)</f>
        <v>2908842.7800000003</v>
      </c>
      <c r="AA4" s="164">
        <f t="shared" si="10"/>
        <v>4855096.8600000003</v>
      </c>
      <c r="AB4" s="164">
        <f>SUM(AB5:AB8)</f>
        <v>301999525.22000003</v>
      </c>
      <c r="AC4" s="147"/>
      <c r="AD4" s="148"/>
      <c r="AE4" s="147"/>
    </row>
    <row r="5" spans="1:31" x14ac:dyDescent="0.2">
      <c r="A5" s="167" t="s">
        <v>203</v>
      </c>
      <c r="B5" s="168" t="s">
        <v>204</v>
      </c>
      <c r="C5" s="169">
        <v>706965.94</v>
      </c>
      <c r="D5" s="169">
        <v>5874746.8300000001</v>
      </c>
      <c r="E5" s="169">
        <v>6233601.9900000002</v>
      </c>
      <c r="F5" s="169">
        <v>8359786.6400000006</v>
      </c>
      <c r="G5" s="169">
        <v>9397969.9700000007</v>
      </c>
      <c r="H5" s="169">
        <v>2794740.63</v>
      </c>
      <c r="I5" s="169">
        <v>2114167.6800000002</v>
      </c>
      <c r="J5" s="169">
        <v>197601.04</v>
      </c>
      <c r="K5" s="169">
        <v>5875445.5</v>
      </c>
      <c r="L5" s="169">
        <v>1930833.08</v>
      </c>
      <c r="M5" s="169">
        <v>5055726.8</v>
      </c>
      <c r="N5" s="169">
        <v>1847920.76</v>
      </c>
      <c r="O5" s="169">
        <v>9908446.3300000001</v>
      </c>
      <c r="P5" s="169">
        <v>247841.23</v>
      </c>
      <c r="Q5" s="169">
        <v>986849.59</v>
      </c>
      <c r="R5" s="169">
        <v>869579.04</v>
      </c>
      <c r="S5" s="169">
        <v>6938883.7000000002</v>
      </c>
      <c r="T5" s="169">
        <v>42573263.590000004</v>
      </c>
      <c r="U5" s="169">
        <v>2665501.75</v>
      </c>
      <c r="V5" s="170">
        <v>5222016.4800000004</v>
      </c>
      <c r="W5" s="169">
        <v>1895881.86</v>
      </c>
      <c r="X5" s="169">
        <v>894888.04</v>
      </c>
      <c r="Y5" s="169">
        <v>409155.52</v>
      </c>
      <c r="Z5" s="169">
        <v>2033375.74</v>
      </c>
      <c r="AA5" s="171">
        <v>3363839.12</v>
      </c>
      <c r="AB5" s="169">
        <f>SUM(C5:AA5)</f>
        <v>128399028.84999999</v>
      </c>
      <c r="AC5" s="147"/>
      <c r="AD5" s="148"/>
      <c r="AE5" s="147"/>
    </row>
    <row r="6" spans="1:31" x14ac:dyDescent="0.2">
      <c r="A6" s="167">
        <v>71131</v>
      </c>
      <c r="B6" s="168" t="s">
        <v>205</v>
      </c>
      <c r="C6" s="169">
        <v>245005.04</v>
      </c>
      <c r="D6" s="169">
        <v>10163023.98</v>
      </c>
      <c r="E6" s="169">
        <v>748678.66</v>
      </c>
      <c r="F6" s="169">
        <v>1283901.6099999999</v>
      </c>
      <c r="G6" s="169">
        <v>27043709.920000002</v>
      </c>
      <c r="H6" s="169">
        <v>1239045.92</v>
      </c>
      <c r="I6" s="169">
        <v>851271.99</v>
      </c>
      <c r="J6" s="169">
        <v>149983.4</v>
      </c>
      <c r="K6" s="169">
        <v>12823291.18</v>
      </c>
      <c r="L6" s="169">
        <v>704594.61</v>
      </c>
      <c r="M6" s="169">
        <v>10213443.560000001</v>
      </c>
      <c r="N6" s="169">
        <v>265615.45</v>
      </c>
      <c r="O6" s="169">
        <v>6432358.1500000004</v>
      </c>
      <c r="P6" s="169">
        <v>100180.55</v>
      </c>
      <c r="Q6" s="169">
        <v>323793.15000000002</v>
      </c>
      <c r="R6" s="169">
        <v>2458914.92</v>
      </c>
      <c r="S6" s="169">
        <v>2676077.0299999998</v>
      </c>
      <c r="T6" s="169">
        <v>17998152.699999999</v>
      </c>
      <c r="U6" s="169">
        <v>212282.52</v>
      </c>
      <c r="V6" s="170">
        <v>9299022.0199999996</v>
      </c>
      <c r="W6" s="169">
        <v>3720656.81</v>
      </c>
      <c r="X6" s="169">
        <v>654207.85</v>
      </c>
      <c r="Y6" s="169">
        <v>499225.12</v>
      </c>
      <c r="Z6" s="169">
        <v>383404.97</v>
      </c>
      <c r="AA6" s="172">
        <v>619024.12</v>
      </c>
      <c r="AB6" s="169">
        <f>SUM(C6:AA6)</f>
        <v>111108865.23000002</v>
      </c>
      <c r="AC6" s="147"/>
      <c r="AD6" s="148"/>
      <c r="AE6" s="147"/>
    </row>
    <row r="7" spans="1:31" x14ac:dyDescent="0.2">
      <c r="A7" s="167">
        <v>71132</v>
      </c>
      <c r="B7" s="168" t="s">
        <v>206</v>
      </c>
      <c r="C7" s="169">
        <v>19929.580000000002</v>
      </c>
      <c r="D7" s="169">
        <v>2953655.5</v>
      </c>
      <c r="E7" s="169">
        <v>117465.82</v>
      </c>
      <c r="F7" s="169">
        <v>435901.83</v>
      </c>
      <c r="G7" s="169">
        <v>6430122.79</v>
      </c>
      <c r="H7" s="169">
        <v>530017.24</v>
      </c>
      <c r="I7" s="169">
        <v>628819.68999999994</v>
      </c>
      <c r="J7" s="169">
        <v>35196.019999999997</v>
      </c>
      <c r="K7" s="169">
        <v>3894878.14</v>
      </c>
      <c r="L7" s="169">
        <v>143406.35999999999</v>
      </c>
      <c r="M7" s="169">
        <v>2878528.55</v>
      </c>
      <c r="N7" s="169">
        <v>29055.040000000001</v>
      </c>
      <c r="O7" s="169">
        <v>540575.31999999995</v>
      </c>
      <c r="P7" s="169">
        <v>33287.550000000003</v>
      </c>
      <c r="Q7" s="169">
        <v>113643.42</v>
      </c>
      <c r="R7" s="169">
        <v>19282.21</v>
      </c>
      <c r="S7" s="169">
        <v>155823.51999999999</v>
      </c>
      <c r="T7" s="169">
        <v>5018198.33</v>
      </c>
      <c r="U7" s="169">
        <v>96801.55</v>
      </c>
      <c r="V7" s="170">
        <v>3817497.8</v>
      </c>
      <c r="W7" s="169">
        <v>1508497.62</v>
      </c>
      <c r="X7" s="169">
        <v>372199.97</v>
      </c>
      <c r="Y7" s="169">
        <v>604.62</v>
      </c>
      <c r="Z7" s="169">
        <v>214384.45</v>
      </c>
      <c r="AA7" s="173">
        <v>303446.92000000004</v>
      </c>
      <c r="AB7" s="169">
        <f>SUM(C7:AA7)</f>
        <v>30291219.840000007</v>
      </c>
      <c r="AC7" s="147"/>
      <c r="AD7" s="148"/>
      <c r="AE7" s="147"/>
    </row>
    <row r="8" spans="1:31" x14ac:dyDescent="0.2">
      <c r="A8" s="167" t="s">
        <v>207</v>
      </c>
      <c r="B8" s="168" t="s">
        <v>208</v>
      </c>
      <c r="C8" s="169">
        <v>50409.43</v>
      </c>
      <c r="D8" s="169">
        <v>1475153.01</v>
      </c>
      <c r="E8" s="169">
        <v>518593.77</v>
      </c>
      <c r="F8" s="169">
        <v>613107.38</v>
      </c>
      <c r="G8" s="169">
        <v>2280255.87</v>
      </c>
      <c r="H8" s="169">
        <v>366067.79</v>
      </c>
      <c r="I8" s="169">
        <v>477310.71999999997</v>
      </c>
      <c r="J8" s="169">
        <v>17442.7</v>
      </c>
      <c r="K8" s="169">
        <v>1604748.63</v>
      </c>
      <c r="L8" s="169">
        <v>162754.04999999999</v>
      </c>
      <c r="M8" s="169">
        <v>1254112.07</v>
      </c>
      <c r="N8" s="169">
        <v>134927.49</v>
      </c>
      <c r="O8" s="169">
        <v>1996712.96</v>
      </c>
      <c r="P8" s="169">
        <v>30046.03</v>
      </c>
      <c r="Q8" s="169">
        <v>91713.26</v>
      </c>
      <c r="R8" s="169">
        <v>82241.78</v>
      </c>
      <c r="S8" s="169">
        <v>775943.1</v>
      </c>
      <c r="T8" s="169">
        <v>17137112.219999999</v>
      </c>
      <c r="U8" s="169">
        <v>198619.8</v>
      </c>
      <c r="V8" s="170">
        <v>1637635.2</v>
      </c>
      <c r="W8" s="169">
        <v>344409.86</v>
      </c>
      <c r="X8" s="169">
        <v>69301.59</v>
      </c>
      <c r="Y8" s="169">
        <v>35328.269999999997</v>
      </c>
      <c r="Z8" s="169">
        <v>277677.62</v>
      </c>
      <c r="AA8" s="171">
        <v>568786.69999999995</v>
      </c>
      <c r="AB8" s="169">
        <f>SUM(C8:AA8)</f>
        <v>32200411.299999997</v>
      </c>
      <c r="AC8" s="147"/>
      <c r="AD8" s="148"/>
      <c r="AE8" s="147"/>
    </row>
    <row r="9" spans="1:31" x14ac:dyDescent="0.2">
      <c r="A9" s="162">
        <v>713</v>
      </c>
      <c r="B9" s="163" t="s">
        <v>123</v>
      </c>
      <c r="C9" s="164">
        <f t="shared" ref="C9" si="11">SUM(C10:C12)</f>
        <v>14978.5</v>
      </c>
      <c r="D9" s="164">
        <f t="shared" ref="D9:AA9" si="12">SUM(D10:D12)</f>
        <v>811009.16999999993</v>
      </c>
      <c r="E9" s="164">
        <f t="shared" si="12"/>
        <v>87365.95</v>
      </c>
      <c r="F9" s="164">
        <f t="shared" si="12"/>
        <v>93136.979999999981</v>
      </c>
      <c r="G9" s="164">
        <f t="shared" si="12"/>
        <v>784828.3600000001</v>
      </c>
      <c r="H9" s="164">
        <f t="shared" si="12"/>
        <v>60281.85</v>
      </c>
      <c r="I9" s="165">
        <f t="shared" si="12"/>
        <v>24720.41</v>
      </c>
      <c r="J9" s="164">
        <f t="shared" si="12"/>
        <v>19550.96</v>
      </c>
      <c r="K9" s="164">
        <f t="shared" si="12"/>
        <v>649313.40999999992</v>
      </c>
      <c r="L9" s="164">
        <f t="shared" si="12"/>
        <v>30868.340000000004</v>
      </c>
      <c r="M9" s="164">
        <f t="shared" si="12"/>
        <v>329591.34999999998</v>
      </c>
      <c r="N9" s="164">
        <f t="shared" si="12"/>
        <v>9519.83</v>
      </c>
      <c r="O9" s="164">
        <f t="shared" si="12"/>
        <v>105072.07</v>
      </c>
      <c r="P9" s="164">
        <f t="shared" si="12"/>
        <v>4834.5200000000004</v>
      </c>
      <c r="Q9" s="164">
        <f t="shared" si="12"/>
        <v>16186.509999999998</v>
      </c>
      <c r="R9" s="164">
        <f t="shared" si="12"/>
        <v>4885.09</v>
      </c>
      <c r="S9" s="164">
        <f>SUM(S10:S12)</f>
        <v>80275.22</v>
      </c>
      <c r="T9" s="164">
        <f t="shared" ref="T9:V9" si="13">SUM(T10:T12)</f>
        <v>1427346.2</v>
      </c>
      <c r="U9" s="164">
        <f t="shared" si="13"/>
        <v>52015.64</v>
      </c>
      <c r="V9" s="166">
        <f t="shared" si="13"/>
        <v>390834.81000000006</v>
      </c>
      <c r="W9" s="164">
        <f t="shared" si="12"/>
        <v>281363.51</v>
      </c>
      <c r="X9" s="164">
        <f t="shared" si="12"/>
        <v>53224.05</v>
      </c>
      <c r="Y9" s="164">
        <f t="shared" si="12"/>
        <v>4372.5</v>
      </c>
      <c r="Z9" s="164">
        <f t="shared" si="12"/>
        <v>25681.089999999997</v>
      </c>
      <c r="AA9" s="164">
        <f t="shared" si="12"/>
        <v>189745.24</v>
      </c>
      <c r="AB9" s="164">
        <f t="shared" ref="AB9" si="14">SUM(AB10:AB12)</f>
        <v>5551001.5600000005</v>
      </c>
      <c r="AC9" s="147"/>
      <c r="AD9" s="148"/>
      <c r="AE9" s="147"/>
    </row>
    <row r="10" spans="1:31" x14ac:dyDescent="0.2">
      <c r="A10" s="167" t="s">
        <v>209</v>
      </c>
      <c r="B10" s="168" t="s">
        <v>210</v>
      </c>
      <c r="C10" s="169">
        <v>6529.5</v>
      </c>
      <c r="D10" s="169">
        <v>63260.33</v>
      </c>
      <c r="E10" s="169">
        <v>24704.13</v>
      </c>
      <c r="F10" s="169">
        <v>57218.549999999988</v>
      </c>
      <c r="G10" s="169">
        <v>98698.71</v>
      </c>
      <c r="H10" s="169">
        <v>10759.36</v>
      </c>
      <c r="I10" s="169">
        <v>10729.93</v>
      </c>
      <c r="J10" s="169">
        <v>4262.4399999999996</v>
      </c>
      <c r="K10" s="169">
        <v>189965.63</v>
      </c>
      <c r="L10" s="169">
        <v>17774.490000000002</v>
      </c>
      <c r="M10" s="169">
        <v>98186.96</v>
      </c>
      <c r="N10" s="169">
        <v>3835.82</v>
      </c>
      <c r="O10" s="169">
        <v>78679.05</v>
      </c>
      <c r="P10" s="169">
        <v>4834.5200000000004</v>
      </c>
      <c r="Q10" s="169">
        <v>8617.7199999999993</v>
      </c>
      <c r="R10" s="169">
        <v>4885.09</v>
      </c>
      <c r="S10" s="169">
        <v>47035.5</v>
      </c>
      <c r="T10" s="169">
        <v>363692.41</v>
      </c>
      <c r="U10" s="169">
        <v>26342.35</v>
      </c>
      <c r="V10" s="170">
        <v>24247.58</v>
      </c>
      <c r="W10" s="169">
        <v>56290.15</v>
      </c>
      <c r="X10" s="169">
        <v>12613.08</v>
      </c>
      <c r="Y10" s="169">
        <v>1014.6</v>
      </c>
      <c r="Z10" s="169">
        <v>19389.349999999999</v>
      </c>
      <c r="AA10" s="173">
        <v>26980.399999999998</v>
      </c>
      <c r="AB10" s="169">
        <f>SUM(C10:AA10)</f>
        <v>1260547.6500000001</v>
      </c>
      <c r="AC10" s="147"/>
      <c r="AD10" s="148"/>
      <c r="AE10" s="147"/>
    </row>
    <row r="11" spans="1:31" x14ac:dyDescent="0.2">
      <c r="A11" s="167" t="s">
        <v>211</v>
      </c>
      <c r="B11" s="168" t="s">
        <v>212</v>
      </c>
      <c r="C11" s="169">
        <v>8449</v>
      </c>
      <c r="D11" s="169">
        <v>306122.18</v>
      </c>
      <c r="E11" s="169">
        <v>62661.82</v>
      </c>
      <c r="F11" s="169">
        <v>35915.43</v>
      </c>
      <c r="G11" s="169">
        <v>100292.61</v>
      </c>
      <c r="H11" s="169">
        <v>49522.49</v>
      </c>
      <c r="I11" s="169">
        <v>13990.48</v>
      </c>
      <c r="J11" s="169">
        <v>11429.7</v>
      </c>
      <c r="K11" s="169">
        <v>144689.73000000001</v>
      </c>
      <c r="L11" s="169">
        <v>13093.85</v>
      </c>
      <c r="M11" s="169">
        <v>58671.040000000001</v>
      </c>
      <c r="N11" s="169">
        <v>5684.01</v>
      </c>
      <c r="O11" s="169">
        <v>26393.02</v>
      </c>
      <c r="P11" s="169">
        <v>0</v>
      </c>
      <c r="Q11" s="169">
        <v>7568.79</v>
      </c>
      <c r="R11" s="169"/>
      <c r="S11" s="169">
        <v>33239.72</v>
      </c>
      <c r="T11" s="169">
        <v>1063653.79</v>
      </c>
      <c r="U11" s="169">
        <v>25673.29</v>
      </c>
      <c r="V11" s="170">
        <v>169998.64</v>
      </c>
      <c r="W11" s="169">
        <v>57185.87</v>
      </c>
      <c r="X11" s="169">
        <v>7643.4</v>
      </c>
      <c r="Y11" s="169">
        <v>3357.9</v>
      </c>
      <c r="Z11" s="169">
        <v>6291.74</v>
      </c>
      <c r="AA11" s="173">
        <v>162764.84</v>
      </c>
      <c r="AB11" s="169">
        <f t="shared" ref="AB11:AB12" si="15">SUM(C11:AA11)</f>
        <v>2374293.3400000003</v>
      </c>
      <c r="AC11" s="147"/>
      <c r="AD11" s="148"/>
      <c r="AE11" s="147"/>
    </row>
    <row r="12" spans="1:31" x14ac:dyDescent="0.2">
      <c r="A12" s="174">
        <v>7136</v>
      </c>
      <c r="B12" s="168" t="s">
        <v>213</v>
      </c>
      <c r="C12" s="169"/>
      <c r="D12" s="169">
        <v>441626.66</v>
      </c>
      <c r="E12" s="169">
        <v>0</v>
      </c>
      <c r="F12" s="169">
        <v>3</v>
      </c>
      <c r="G12" s="169">
        <v>585837.04</v>
      </c>
      <c r="H12" s="169">
        <v>0</v>
      </c>
      <c r="I12" s="169"/>
      <c r="J12" s="169">
        <v>3858.82</v>
      </c>
      <c r="K12" s="169">
        <v>314658.05</v>
      </c>
      <c r="L12" s="169">
        <v>0</v>
      </c>
      <c r="M12" s="169">
        <v>172733.35</v>
      </c>
      <c r="N12" s="169">
        <v>0</v>
      </c>
      <c r="O12" s="169">
        <v>0</v>
      </c>
      <c r="P12" s="169">
        <v>0</v>
      </c>
      <c r="Q12" s="169">
        <v>0</v>
      </c>
      <c r="R12" s="169"/>
      <c r="S12" s="169">
        <v>0</v>
      </c>
      <c r="T12" s="169">
        <v>0</v>
      </c>
      <c r="U12" s="169"/>
      <c r="V12" s="170">
        <v>196588.59</v>
      </c>
      <c r="W12" s="169">
        <v>167887.49</v>
      </c>
      <c r="X12" s="169">
        <v>32967.57</v>
      </c>
      <c r="Y12" s="169">
        <v>0</v>
      </c>
      <c r="Z12" s="169">
        <v>0</v>
      </c>
      <c r="AA12" s="173">
        <v>0</v>
      </c>
      <c r="AB12" s="169">
        <f t="shared" si="15"/>
        <v>1916160.57</v>
      </c>
      <c r="AC12" s="147"/>
      <c r="AD12" s="148"/>
      <c r="AE12" s="147"/>
    </row>
    <row r="13" spans="1:31" x14ac:dyDescent="0.2">
      <c r="A13" s="162">
        <v>714</v>
      </c>
      <c r="B13" s="163" t="s">
        <v>214</v>
      </c>
      <c r="C13" s="164">
        <f>C14+C19+C25+C26+C27+C28+C29+C30+C31+C32</f>
        <v>468902.43</v>
      </c>
      <c r="D13" s="164">
        <f t="shared" ref="D13:W13" si="16">D14+D19+D25+D26+D27+D28+D29+D30+D31+D32</f>
        <v>11633540.679999998</v>
      </c>
      <c r="E13" s="164">
        <f t="shared" si="16"/>
        <v>1013958.8399999999</v>
      </c>
      <c r="F13" s="164">
        <f t="shared" si="16"/>
        <v>1447442.0999999996</v>
      </c>
      <c r="G13" s="164">
        <f t="shared" ref="G13" si="17">G14+G19+G24+G25+G26+G27+G28+G29+G30+G31+G32</f>
        <v>6603443.5000000009</v>
      </c>
      <c r="H13" s="164">
        <f t="shared" si="16"/>
        <v>542061.66</v>
      </c>
      <c r="I13" s="165">
        <f t="shared" ref="I13" si="18">I14+I19+I24+I25+I26+I27+I28+I29+I30+I31+I32</f>
        <v>704853.49</v>
      </c>
      <c r="J13" s="164">
        <f t="shared" si="16"/>
        <v>23324.63</v>
      </c>
      <c r="K13" s="164">
        <f>K14+K19+K25+K26+K27+K28+K29+K30+K31+K32</f>
        <v>4031989.55</v>
      </c>
      <c r="L13" s="164">
        <f>L14+L19+L24+L25+L26+L27+L28+L29+L30+L32+L31</f>
        <v>1298903.4000000001</v>
      </c>
      <c r="M13" s="164">
        <f t="shared" si="16"/>
        <v>7679829.6000000015</v>
      </c>
      <c r="N13" s="164">
        <f t="shared" si="16"/>
        <v>190971.76</v>
      </c>
      <c r="O13" s="164">
        <f t="shared" si="16"/>
        <v>4235720.9500000011</v>
      </c>
      <c r="P13" s="164">
        <f t="shared" ref="P13" si="19">P14+P19+P24+P25+P26+P27+P28+P29+P30+P31+P32</f>
        <v>106902.38999999998</v>
      </c>
      <c r="Q13" s="164">
        <f t="shared" si="16"/>
        <v>689242.08</v>
      </c>
      <c r="R13" s="164">
        <f t="shared" si="16"/>
        <v>851138.05</v>
      </c>
      <c r="S13" s="164">
        <f>S14+S19+S24+S25+S26+S27+S28+S29+S30+S31+S32</f>
        <v>6945406.0299999993</v>
      </c>
      <c r="T13" s="164">
        <f t="shared" ref="T13" si="20">T14+T19+T24+T25+T26+T27+T28+T29+T30+T31+T32</f>
        <v>31515393.710000001</v>
      </c>
      <c r="U13" s="164">
        <f>U14+U19+U24+U25+U26+U27+U28+U29+U30+U31+U32</f>
        <v>1694377.77</v>
      </c>
      <c r="V13" s="166">
        <f>V14+V19+V24+V25+V26+V27+V28+V29+V30+V31+V32</f>
        <v>2408648.2799999998</v>
      </c>
      <c r="W13" s="164">
        <f t="shared" si="16"/>
        <v>3335215.26</v>
      </c>
      <c r="X13" s="164">
        <f t="shared" ref="X13" si="21">X14+X19+X24+X25+X26+X27+X28+X29+X30+X31+X32</f>
        <v>896010.8</v>
      </c>
      <c r="Y13" s="164">
        <f>Y14+Y19+Y24+Y25+Y26+Y27+Y28+Y29+Y30+Y31+Y32</f>
        <v>63157.759999999995</v>
      </c>
      <c r="Z13" s="164">
        <f t="shared" ref="Z13:AA13" si="22">Z14+Z19+Z24+Z25+Z26+Z27+Z28+Z29+Z30+Z31+Z32</f>
        <v>387251.81000000006</v>
      </c>
      <c r="AA13" s="164">
        <f t="shared" si="22"/>
        <v>237858.42</v>
      </c>
      <c r="AB13" s="164">
        <f>+AB14+AB19+AB25+AB26+AB27+AB28+AB29+AB30+AB31+AB32</f>
        <v>89005544.950000003</v>
      </c>
      <c r="AC13" s="147"/>
      <c r="AD13" s="148"/>
      <c r="AE13" s="147"/>
    </row>
    <row r="14" spans="1:31" x14ac:dyDescent="0.2">
      <c r="A14" s="162">
        <v>7141</v>
      </c>
      <c r="B14" s="163" t="s">
        <v>215</v>
      </c>
      <c r="C14" s="164">
        <f t="shared" ref="C14" si="23">+C15+C16+C17+C18</f>
        <v>282889.01</v>
      </c>
      <c r="D14" s="164">
        <f t="shared" ref="D14:X14" si="24">+D15+D16+D17+D18</f>
        <v>89786.95</v>
      </c>
      <c r="E14" s="164">
        <f t="shared" si="24"/>
        <v>149110.69</v>
      </c>
      <c r="F14" s="164">
        <f t="shared" si="24"/>
        <v>17588.839999999997</v>
      </c>
      <c r="G14" s="164">
        <f t="shared" si="24"/>
        <v>86252.24</v>
      </c>
      <c r="H14" s="164">
        <f t="shared" si="24"/>
        <v>31279.89</v>
      </c>
      <c r="I14" s="165">
        <f t="shared" si="24"/>
        <v>287108.93</v>
      </c>
      <c r="J14" s="164">
        <f t="shared" si="24"/>
        <v>1728.22</v>
      </c>
      <c r="K14" s="164">
        <f t="shared" si="24"/>
        <v>94622.2</v>
      </c>
      <c r="L14" s="164">
        <f>+L15+L16+L17+L18</f>
        <v>227280.62</v>
      </c>
      <c r="M14" s="164">
        <f t="shared" si="24"/>
        <v>50165.31</v>
      </c>
      <c r="N14" s="164">
        <f t="shared" si="24"/>
        <v>30058.49</v>
      </c>
      <c r="O14" s="164">
        <f t="shared" si="24"/>
        <v>1636928.7000000002</v>
      </c>
      <c r="P14" s="164">
        <f t="shared" si="24"/>
        <v>621.15</v>
      </c>
      <c r="Q14" s="164">
        <f t="shared" si="24"/>
        <v>292968.29000000004</v>
      </c>
      <c r="R14" s="164">
        <f t="shared" si="24"/>
        <v>665133.20000000007</v>
      </c>
      <c r="S14" s="164">
        <f>+S15+S16+S17+S18</f>
        <v>164192.83000000002</v>
      </c>
      <c r="T14" s="164">
        <f t="shared" ref="T14" si="25">+T15+T16+T17+T18</f>
        <v>349579.16000000003</v>
      </c>
      <c r="U14" s="164">
        <f>+U15+U16+U17+U18</f>
        <v>0</v>
      </c>
      <c r="V14" s="166">
        <f t="shared" ref="V14" si="26">+V15+V16+V17+V18</f>
        <v>122135.03999999999</v>
      </c>
      <c r="W14" s="164">
        <f t="shared" si="24"/>
        <v>51111.29</v>
      </c>
      <c r="X14" s="164">
        <f t="shared" si="24"/>
        <v>0</v>
      </c>
      <c r="Y14" s="164">
        <f>+Y15+Y16+Y17+Y18</f>
        <v>53931.82</v>
      </c>
      <c r="Z14" s="164">
        <f t="shared" ref="Z14:AA14" si="27">+Z15+Z16+Z17+Z18</f>
        <v>36655.629999999997</v>
      </c>
      <c r="AA14" s="164">
        <f t="shared" si="27"/>
        <v>90787.37</v>
      </c>
      <c r="AB14" s="164">
        <f t="shared" ref="AB14" si="28">+AB15+AB16+AB17+AB18</f>
        <v>4811915.87</v>
      </c>
      <c r="AC14" s="147"/>
      <c r="AD14" s="148"/>
      <c r="AE14" s="147"/>
    </row>
    <row r="15" spans="1:31" x14ac:dyDescent="0.2">
      <c r="A15" s="174" t="s">
        <v>216</v>
      </c>
      <c r="B15" s="168" t="s">
        <v>217</v>
      </c>
      <c r="C15" s="169">
        <v>282510.88</v>
      </c>
      <c r="D15" s="169">
        <v>57244.94</v>
      </c>
      <c r="E15" s="169">
        <v>139576.14000000001</v>
      </c>
      <c r="F15" s="169">
        <v>8768.029999999997</v>
      </c>
      <c r="G15" s="169">
        <v>70700.66</v>
      </c>
      <c r="H15" s="169">
        <v>31279.89</v>
      </c>
      <c r="I15" s="169">
        <v>270952.90999999997</v>
      </c>
      <c r="J15" s="169">
        <v>850.26</v>
      </c>
      <c r="K15" s="169">
        <v>10360.280000000001</v>
      </c>
      <c r="L15" s="169">
        <v>225737.43</v>
      </c>
      <c r="M15" s="169">
        <v>33604.800000000003</v>
      </c>
      <c r="N15" s="169">
        <v>30058.49</v>
      </c>
      <c r="O15" s="169">
        <v>1599900.6600000001</v>
      </c>
      <c r="P15" s="169">
        <v>621.15</v>
      </c>
      <c r="Q15" s="169">
        <v>279166.83</v>
      </c>
      <c r="R15" s="169">
        <v>663607.80000000005</v>
      </c>
      <c r="S15" s="169">
        <v>80594.78</v>
      </c>
      <c r="T15" s="169">
        <v>173291.37</v>
      </c>
      <c r="U15" s="169"/>
      <c r="V15" s="170">
        <v>5831.84</v>
      </c>
      <c r="W15" s="169">
        <v>22624.47</v>
      </c>
      <c r="X15" s="169"/>
      <c r="Y15" s="169">
        <v>53457.72</v>
      </c>
      <c r="Z15" s="169">
        <v>36655.629999999997</v>
      </c>
      <c r="AA15" s="173">
        <v>90787.37</v>
      </c>
      <c r="AB15" s="169">
        <f t="shared" ref="AB15:AB39" si="29">SUM(C15:AA15)</f>
        <v>4168184.3300000005</v>
      </c>
      <c r="AC15" s="147"/>
      <c r="AD15" s="148"/>
      <c r="AE15" s="147"/>
    </row>
    <row r="16" spans="1:31" x14ac:dyDescent="0.2">
      <c r="A16" s="174" t="s">
        <v>218</v>
      </c>
      <c r="B16" s="168" t="s">
        <v>219</v>
      </c>
      <c r="C16" s="175"/>
      <c r="D16" s="175">
        <v>0</v>
      </c>
      <c r="E16" s="175">
        <v>8274.5499999999993</v>
      </c>
      <c r="F16" s="175">
        <v>0</v>
      </c>
      <c r="G16" s="175"/>
      <c r="H16" s="175"/>
      <c r="I16" s="169"/>
      <c r="J16" s="175"/>
      <c r="K16" s="175">
        <v>0</v>
      </c>
      <c r="L16" s="175">
        <v>0</v>
      </c>
      <c r="M16" s="175"/>
      <c r="N16" s="175"/>
      <c r="O16" s="175"/>
      <c r="P16" s="175"/>
      <c r="Q16" s="175">
        <v>0</v>
      </c>
      <c r="R16" s="175">
        <v>0</v>
      </c>
      <c r="S16" s="175">
        <v>0</v>
      </c>
      <c r="T16" s="175">
        <v>81.540000000000006</v>
      </c>
      <c r="U16" s="175"/>
      <c r="V16" s="176">
        <v>0</v>
      </c>
      <c r="W16" s="175">
        <v>0</v>
      </c>
      <c r="X16" s="175"/>
      <c r="Y16" s="175"/>
      <c r="Z16" s="175">
        <v>0</v>
      </c>
      <c r="AA16" s="171">
        <v>0</v>
      </c>
      <c r="AB16" s="169">
        <f t="shared" si="29"/>
        <v>8356.09</v>
      </c>
      <c r="AC16" s="147"/>
      <c r="AD16" s="148"/>
      <c r="AE16" s="147"/>
    </row>
    <row r="17" spans="1:31" x14ac:dyDescent="0.2">
      <c r="A17" s="174" t="s">
        <v>220</v>
      </c>
      <c r="B17" s="168" t="s">
        <v>221</v>
      </c>
      <c r="C17" s="169">
        <v>378.13</v>
      </c>
      <c r="D17" s="169">
        <v>32542.01</v>
      </c>
      <c r="E17" s="169">
        <v>1260</v>
      </c>
      <c r="F17" s="169">
        <v>8820.81</v>
      </c>
      <c r="G17" s="169">
        <v>15551.58</v>
      </c>
      <c r="H17" s="169"/>
      <c r="I17" s="169">
        <v>16156.02</v>
      </c>
      <c r="J17" s="169">
        <v>877.96</v>
      </c>
      <c r="K17" s="169">
        <v>84261.92</v>
      </c>
      <c r="L17" s="169">
        <v>1543.19</v>
      </c>
      <c r="M17" s="169">
        <v>0</v>
      </c>
      <c r="N17" s="169"/>
      <c r="O17" s="169">
        <v>37028.04</v>
      </c>
      <c r="P17" s="169"/>
      <c r="Q17" s="169">
        <v>13801.46</v>
      </c>
      <c r="R17" s="169">
        <v>1525.4</v>
      </c>
      <c r="S17" s="169">
        <v>83598.05</v>
      </c>
      <c r="T17" s="169">
        <v>176206.25</v>
      </c>
      <c r="U17" s="169"/>
      <c r="V17" s="170">
        <v>116303.2</v>
      </c>
      <c r="W17" s="169">
        <v>28486.82</v>
      </c>
      <c r="X17" s="169"/>
      <c r="Y17" s="169">
        <v>474.1</v>
      </c>
      <c r="Z17" s="169">
        <v>0</v>
      </c>
      <c r="AA17" s="173">
        <v>0</v>
      </c>
      <c r="AB17" s="169">
        <f t="shared" si="29"/>
        <v>618814.93999999994</v>
      </c>
      <c r="AC17" s="147"/>
      <c r="AD17" s="148"/>
      <c r="AE17" s="147"/>
    </row>
    <row r="18" spans="1:31" x14ac:dyDescent="0.2">
      <c r="A18" s="174">
        <v>71414</v>
      </c>
      <c r="B18" s="168" t="s">
        <v>222</v>
      </c>
      <c r="C18" s="175"/>
      <c r="D18" s="175">
        <v>0</v>
      </c>
      <c r="E18" s="175">
        <v>0</v>
      </c>
      <c r="F18" s="175">
        <v>0</v>
      </c>
      <c r="G18" s="175"/>
      <c r="H18" s="175"/>
      <c r="I18" s="169"/>
      <c r="J18" s="175"/>
      <c r="K18" s="175"/>
      <c r="L18" s="175">
        <v>0</v>
      </c>
      <c r="M18" s="175">
        <v>16560.509999999998</v>
      </c>
      <c r="N18" s="175"/>
      <c r="O18" s="175"/>
      <c r="P18" s="175"/>
      <c r="Q18" s="175"/>
      <c r="R18" s="175"/>
      <c r="S18" s="175">
        <v>0</v>
      </c>
      <c r="T18" s="175">
        <v>0</v>
      </c>
      <c r="U18" s="175"/>
      <c r="V18" s="176">
        <v>0</v>
      </c>
      <c r="W18" s="175"/>
      <c r="X18" s="175"/>
      <c r="Y18" s="175"/>
      <c r="Z18" s="175">
        <v>0</v>
      </c>
      <c r="AA18" s="171">
        <v>0</v>
      </c>
      <c r="AB18" s="169">
        <f t="shared" si="29"/>
        <v>16560.509999999998</v>
      </c>
      <c r="AC18" s="147"/>
      <c r="AD18" s="148"/>
      <c r="AE18" s="147"/>
    </row>
    <row r="19" spans="1:31" x14ac:dyDescent="0.2">
      <c r="A19" s="177">
        <v>7142</v>
      </c>
      <c r="B19" s="163" t="s">
        <v>223</v>
      </c>
      <c r="C19" s="164">
        <f t="shared" ref="C19" si="30">+C20+C21+C22+C23+C24</f>
        <v>165687.09</v>
      </c>
      <c r="D19" s="164">
        <f t="shared" ref="D19:X19" si="31">+D20+D21+D22+D23+D24</f>
        <v>1277348.98</v>
      </c>
      <c r="E19" s="164">
        <f t="shared" si="31"/>
        <v>533567.24</v>
      </c>
      <c r="F19" s="164">
        <f t="shared" si="31"/>
        <v>703267.99</v>
      </c>
      <c r="G19" s="164">
        <f t="shared" si="31"/>
        <v>0</v>
      </c>
      <c r="H19" s="164">
        <f t="shared" si="31"/>
        <v>138221.70000000001</v>
      </c>
      <c r="I19" s="165">
        <f t="shared" si="31"/>
        <v>232600.45</v>
      </c>
      <c r="J19" s="164">
        <f t="shared" si="31"/>
        <v>0</v>
      </c>
      <c r="K19" s="164">
        <f t="shared" si="31"/>
        <v>107797.56</v>
      </c>
      <c r="L19" s="164">
        <f>+L20+L21+L22+L23+L24</f>
        <v>364313.7</v>
      </c>
      <c r="M19" s="164">
        <f t="shared" si="31"/>
        <v>1119833.8199999998</v>
      </c>
      <c r="N19" s="164">
        <f t="shared" si="31"/>
        <v>86737.51</v>
      </c>
      <c r="O19" s="164">
        <f t="shared" si="31"/>
        <v>415945.03</v>
      </c>
      <c r="P19" s="164">
        <f t="shared" si="31"/>
        <v>85715.7</v>
      </c>
      <c r="Q19" s="164">
        <f t="shared" si="31"/>
        <v>251927.97</v>
      </c>
      <c r="R19" s="164">
        <f t="shared" si="31"/>
        <v>138802.37</v>
      </c>
      <c r="S19" s="164">
        <f>+S20+S21+S22+S23+S24</f>
        <v>4067515.6399999997</v>
      </c>
      <c r="T19" s="164">
        <f t="shared" ref="T19:U19" si="32">+T20+T21+T22+T23+T24</f>
        <v>293317.62</v>
      </c>
      <c r="U19" s="164">
        <f t="shared" si="32"/>
        <v>1405475.91</v>
      </c>
      <c r="V19" s="166">
        <f>+V20+V21+V22+V23+V24</f>
        <v>0</v>
      </c>
      <c r="W19" s="164">
        <f t="shared" si="31"/>
        <v>60772.01</v>
      </c>
      <c r="X19" s="164">
        <f t="shared" si="31"/>
        <v>322965.17</v>
      </c>
      <c r="Y19" s="164">
        <f>+Y20+Y21+Y22+Y23+Y24</f>
        <v>0</v>
      </c>
      <c r="Z19" s="164">
        <f t="shared" ref="Z19:AA19" si="33">+Z20+Z21+Z22+Z23+Z24</f>
        <v>0</v>
      </c>
      <c r="AA19" s="164">
        <f t="shared" si="33"/>
        <v>0</v>
      </c>
      <c r="AB19" s="164">
        <f>SUM(AB20:AB24)</f>
        <v>11771813.459999997</v>
      </c>
      <c r="AC19" s="147"/>
      <c r="AD19" s="148"/>
      <c r="AE19" s="147"/>
    </row>
    <row r="20" spans="1:31" x14ac:dyDescent="0.2">
      <c r="A20" s="174" t="s">
        <v>224</v>
      </c>
      <c r="B20" s="168" t="s">
        <v>225</v>
      </c>
      <c r="C20" s="169">
        <v>165687.09</v>
      </c>
      <c r="D20" s="169"/>
      <c r="E20" s="169">
        <v>533567.24</v>
      </c>
      <c r="F20" s="169">
        <v>475595.61000000004</v>
      </c>
      <c r="G20" s="169"/>
      <c r="H20" s="169"/>
      <c r="I20" s="169">
        <v>5418</v>
      </c>
      <c r="J20" s="169"/>
      <c r="K20" s="169"/>
      <c r="L20" s="169">
        <v>364313.7</v>
      </c>
      <c r="M20" s="169"/>
      <c r="N20" s="169">
        <v>15904</v>
      </c>
      <c r="O20" s="169">
        <v>21438.39</v>
      </c>
      <c r="P20" s="169">
        <v>85715.7</v>
      </c>
      <c r="Q20" s="169">
        <v>251927.97</v>
      </c>
      <c r="R20" s="169">
        <v>138802.37</v>
      </c>
      <c r="S20" s="169">
        <v>2818865.8</v>
      </c>
      <c r="T20" s="169">
        <v>117522.05</v>
      </c>
      <c r="U20" s="169">
        <v>1344953.7</v>
      </c>
      <c r="V20" s="178">
        <v>0</v>
      </c>
      <c r="W20" s="169"/>
      <c r="X20" s="169">
        <v>312248.43</v>
      </c>
      <c r="Y20" s="169">
        <v>0</v>
      </c>
      <c r="Z20" s="169">
        <v>0</v>
      </c>
      <c r="AA20" s="171">
        <v>0</v>
      </c>
      <c r="AB20" s="169">
        <f t="shared" si="29"/>
        <v>6651960.0499999989</v>
      </c>
      <c r="AC20" s="147"/>
      <c r="AD20" s="148"/>
      <c r="AE20" s="147"/>
    </row>
    <row r="21" spans="1:31" x14ac:dyDescent="0.2">
      <c r="A21" s="174">
        <v>71422</v>
      </c>
      <c r="B21" s="168" t="s">
        <v>226</v>
      </c>
      <c r="C21" s="175"/>
      <c r="D21" s="175"/>
      <c r="E21" s="175"/>
      <c r="F21" s="175"/>
      <c r="G21" s="175"/>
      <c r="H21" s="175"/>
      <c r="I21" s="169"/>
      <c r="J21" s="175"/>
      <c r="K21" s="175"/>
      <c r="L21" s="175">
        <v>0</v>
      </c>
      <c r="M21" s="175"/>
      <c r="N21" s="175"/>
      <c r="O21" s="175"/>
      <c r="P21" s="175"/>
      <c r="Q21" s="175"/>
      <c r="R21" s="175"/>
      <c r="S21" s="175">
        <v>0</v>
      </c>
      <c r="T21" s="175">
        <v>0</v>
      </c>
      <c r="U21" s="175"/>
      <c r="V21" s="176">
        <v>0</v>
      </c>
      <c r="W21" s="175"/>
      <c r="X21" s="175"/>
      <c r="Y21" s="175">
        <v>0</v>
      </c>
      <c r="Z21" s="175">
        <v>0</v>
      </c>
      <c r="AA21" s="172">
        <v>0</v>
      </c>
      <c r="AB21" s="169">
        <f t="shared" si="29"/>
        <v>0</v>
      </c>
      <c r="AC21" s="147"/>
      <c r="AD21" s="148"/>
      <c r="AE21" s="147"/>
    </row>
    <row r="22" spans="1:31" x14ac:dyDescent="0.2">
      <c r="A22" s="174" t="s">
        <v>227</v>
      </c>
      <c r="B22" s="168" t="s">
        <v>228</v>
      </c>
      <c r="C22" s="175"/>
      <c r="D22" s="175"/>
      <c r="E22" s="175"/>
      <c r="F22" s="175">
        <v>60503.67</v>
      </c>
      <c r="G22" s="175"/>
      <c r="H22" s="175"/>
      <c r="I22" s="169"/>
      <c r="J22" s="175"/>
      <c r="K22" s="175"/>
      <c r="L22" s="175">
        <v>0</v>
      </c>
      <c r="M22" s="175"/>
      <c r="N22" s="175"/>
      <c r="O22" s="175">
        <v>364040.05</v>
      </c>
      <c r="P22" s="175"/>
      <c r="Q22" s="175"/>
      <c r="R22" s="175"/>
      <c r="S22" s="175">
        <v>0</v>
      </c>
      <c r="T22" s="175">
        <v>0</v>
      </c>
      <c r="U22" s="175"/>
      <c r="V22" s="176">
        <v>0</v>
      </c>
      <c r="W22" s="175"/>
      <c r="X22" s="175"/>
      <c r="Y22" s="175">
        <v>0</v>
      </c>
      <c r="Z22" s="175">
        <v>0</v>
      </c>
      <c r="AA22" s="172">
        <v>0</v>
      </c>
      <c r="AB22" s="169">
        <f t="shared" si="29"/>
        <v>424543.72</v>
      </c>
      <c r="AC22" s="147"/>
      <c r="AD22" s="148"/>
      <c r="AE22" s="147"/>
    </row>
    <row r="23" spans="1:31" x14ac:dyDescent="0.2">
      <c r="A23" s="174">
        <v>71424</v>
      </c>
      <c r="B23" s="168" t="s">
        <v>229</v>
      </c>
      <c r="C23" s="175"/>
      <c r="D23" s="175">
        <v>483997.64</v>
      </c>
      <c r="E23" s="175"/>
      <c r="F23" s="175">
        <v>167168.71</v>
      </c>
      <c r="G23" s="175"/>
      <c r="H23" s="175">
        <v>138221.70000000001</v>
      </c>
      <c r="I23" s="169">
        <v>227182.45</v>
      </c>
      <c r="J23" s="175"/>
      <c r="K23" s="175">
        <v>107797.56</v>
      </c>
      <c r="L23" s="175">
        <v>0</v>
      </c>
      <c r="M23" s="175">
        <v>1119833.8199999998</v>
      </c>
      <c r="N23" s="175">
        <v>70833.509999999995</v>
      </c>
      <c r="O23" s="175">
        <v>30466.59</v>
      </c>
      <c r="P23" s="175"/>
      <c r="Q23" s="175"/>
      <c r="R23" s="175"/>
      <c r="S23" s="175">
        <v>1248649.8400000001</v>
      </c>
      <c r="T23" s="175">
        <v>175795.57</v>
      </c>
      <c r="U23" s="175">
        <v>60522.21</v>
      </c>
      <c r="V23" s="176">
        <v>0</v>
      </c>
      <c r="W23" s="175">
        <v>60772.01</v>
      </c>
      <c r="X23" s="175">
        <v>10716.74</v>
      </c>
      <c r="Y23" s="175">
        <v>0</v>
      </c>
      <c r="Z23" s="175">
        <v>0</v>
      </c>
      <c r="AA23" s="173">
        <v>0</v>
      </c>
      <c r="AB23" s="169">
        <f t="shared" si="29"/>
        <v>3901958.3499999992</v>
      </c>
      <c r="AC23" s="147"/>
      <c r="AD23" s="148"/>
      <c r="AE23" s="147"/>
    </row>
    <row r="24" spans="1:31" x14ac:dyDescent="0.2">
      <c r="A24" s="174">
        <v>71425</v>
      </c>
      <c r="B24" s="168" t="s">
        <v>230</v>
      </c>
      <c r="C24" s="175"/>
      <c r="D24" s="175">
        <v>793351.34</v>
      </c>
      <c r="E24" s="175"/>
      <c r="F24" s="175"/>
      <c r="G24" s="175"/>
      <c r="H24" s="175"/>
      <c r="I24" s="169"/>
      <c r="J24" s="175"/>
      <c r="K24" s="175"/>
      <c r="L24" s="175">
        <v>0</v>
      </c>
      <c r="M24" s="175"/>
      <c r="N24" s="175"/>
      <c r="O24" s="175"/>
      <c r="P24" s="175"/>
      <c r="Q24" s="175"/>
      <c r="R24" s="175"/>
      <c r="S24" s="175">
        <v>0</v>
      </c>
      <c r="T24" s="175">
        <v>0</v>
      </c>
      <c r="U24" s="175"/>
      <c r="V24" s="176">
        <v>0</v>
      </c>
      <c r="W24" s="175"/>
      <c r="X24" s="175"/>
      <c r="Y24" s="175">
        <v>0</v>
      </c>
      <c r="Z24" s="175">
        <v>0</v>
      </c>
      <c r="AA24" s="171">
        <v>0</v>
      </c>
      <c r="AB24" s="169">
        <f t="shared" si="29"/>
        <v>793351.34</v>
      </c>
      <c r="AC24" s="147"/>
      <c r="AD24" s="148"/>
      <c r="AE24" s="147"/>
    </row>
    <row r="25" spans="1:31" x14ac:dyDescent="0.2">
      <c r="A25" s="174">
        <v>7143</v>
      </c>
      <c r="B25" s="168" t="s">
        <v>231</v>
      </c>
      <c r="C25" s="175"/>
      <c r="D25" s="175"/>
      <c r="E25" s="175"/>
      <c r="F25" s="175"/>
      <c r="G25" s="175"/>
      <c r="H25" s="175"/>
      <c r="I25" s="169"/>
      <c r="J25" s="175"/>
      <c r="K25" s="175"/>
      <c r="L25" s="175">
        <v>0</v>
      </c>
      <c r="M25" s="175"/>
      <c r="N25" s="175"/>
      <c r="O25" s="175"/>
      <c r="P25" s="175"/>
      <c r="Q25" s="175"/>
      <c r="R25" s="175"/>
      <c r="S25" s="175">
        <v>0</v>
      </c>
      <c r="T25" s="175">
        <v>0</v>
      </c>
      <c r="U25" s="175"/>
      <c r="V25" s="176">
        <v>0</v>
      </c>
      <c r="W25" s="175"/>
      <c r="X25" s="175"/>
      <c r="Y25" s="175">
        <v>0</v>
      </c>
      <c r="Z25" s="175">
        <v>0</v>
      </c>
      <c r="AA25" s="173">
        <v>0</v>
      </c>
      <c r="AB25" s="169">
        <f t="shared" si="29"/>
        <v>0</v>
      </c>
      <c r="AC25" s="147"/>
      <c r="AD25" s="148"/>
      <c r="AE25" s="147"/>
    </row>
    <row r="26" spans="1:31" x14ac:dyDescent="0.2">
      <c r="A26" s="174">
        <v>7145</v>
      </c>
      <c r="B26" s="168" t="s">
        <v>232</v>
      </c>
      <c r="C26" s="175"/>
      <c r="D26" s="175"/>
      <c r="E26" s="175"/>
      <c r="F26" s="175"/>
      <c r="G26" s="175"/>
      <c r="H26" s="175"/>
      <c r="I26" s="169"/>
      <c r="J26" s="175">
        <v>3384.31</v>
      </c>
      <c r="K26" s="175"/>
      <c r="L26" s="175">
        <v>0</v>
      </c>
      <c r="M26" s="175"/>
      <c r="N26" s="175"/>
      <c r="O26" s="175"/>
      <c r="P26" s="175"/>
      <c r="Q26" s="175"/>
      <c r="R26" s="175">
        <v>9165.68</v>
      </c>
      <c r="S26" s="175">
        <v>0</v>
      </c>
      <c r="T26" s="175">
        <v>0</v>
      </c>
      <c r="U26" s="175"/>
      <c r="V26" s="176">
        <v>0</v>
      </c>
      <c r="W26" s="175"/>
      <c r="X26" s="175">
        <v>31170.84</v>
      </c>
      <c r="Y26" s="175">
        <v>0</v>
      </c>
      <c r="Z26" s="175">
        <v>0</v>
      </c>
      <c r="AA26" s="171">
        <v>0</v>
      </c>
      <c r="AB26" s="169">
        <f t="shared" si="29"/>
        <v>43720.83</v>
      </c>
      <c r="AC26" s="147"/>
      <c r="AD26" s="148"/>
      <c r="AE26" s="147"/>
    </row>
    <row r="27" spans="1:31" x14ac:dyDescent="0.2">
      <c r="A27" s="174" t="s">
        <v>233</v>
      </c>
      <c r="B27" s="168" t="s">
        <v>234</v>
      </c>
      <c r="C27" s="169">
        <v>4950.3100000000004</v>
      </c>
      <c r="D27" s="169">
        <v>9901550.5999999996</v>
      </c>
      <c r="E27" s="169">
        <v>162033.1</v>
      </c>
      <c r="F27" s="169">
        <v>310225.06</v>
      </c>
      <c r="G27" s="169">
        <v>6053424.8600000003</v>
      </c>
      <c r="H27" s="169">
        <v>201842.6</v>
      </c>
      <c r="I27" s="169">
        <v>85317.37</v>
      </c>
      <c r="J27" s="169">
        <v>9024.9699999999993</v>
      </c>
      <c r="K27" s="169">
        <v>3462704.41</v>
      </c>
      <c r="L27" s="169">
        <v>626591.77</v>
      </c>
      <c r="M27" s="169">
        <v>4011681.99</v>
      </c>
      <c r="N27" s="169">
        <v>3152.64</v>
      </c>
      <c r="O27" s="169">
        <v>1248009.78</v>
      </c>
      <c r="P27" s="169">
        <v>2683.52</v>
      </c>
      <c r="Q27" s="169">
        <v>83152.490000000005</v>
      </c>
      <c r="R27" s="169">
        <v>16106.57</v>
      </c>
      <c r="S27" s="169">
        <v>164173.6</v>
      </c>
      <c r="T27" s="179">
        <f>29190494.53-453575.55</f>
        <v>28736918.98</v>
      </c>
      <c r="U27" s="169">
        <v>68420.63</v>
      </c>
      <c r="V27" s="170">
        <v>1865014.52</v>
      </c>
      <c r="W27" s="169">
        <v>2507730.5</v>
      </c>
      <c r="X27" s="169">
        <v>492295.4</v>
      </c>
      <c r="Y27" s="175">
        <v>0</v>
      </c>
      <c r="Z27" s="175">
        <v>214306.95</v>
      </c>
      <c r="AA27" s="172">
        <v>40419.54</v>
      </c>
      <c r="AB27" s="169">
        <f t="shared" si="29"/>
        <v>60271732.160000011</v>
      </c>
      <c r="AC27" s="147"/>
      <c r="AD27" s="148"/>
      <c r="AE27" s="147"/>
    </row>
    <row r="28" spans="1:31" x14ac:dyDescent="0.2">
      <c r="A28" s="174">
        <v>71464</v>
      </c>
      <c r="B28" s="168" t="s">
        <v>235</v>
      </c>
      <c r="C28" s="175"/>
      <c r="D28" s="175"/>
      <c r="E28" s="175"/>
      <c r="F28" s="175"/>
      <c r="G28" s="175"/>
      <c r="H28" s="175"/>
      <c r="I28" s="169"/>
      <c r="J28" s="175"/>
      <c r="K28" s="175"/>
      <c r="L28" s="175">
        <v>0</v>
      </c>
      <c r="M28" s="175"/>
      <c r="N28" s="175"/>
      <c r="O28" s="175"/>
      <c r="P28" s="175"/>
      <c r="Q28" s="175"/>
      <c r="R28" s="175"/>
      <c r="S28" s="175">
        <v>0</v>
      </c>
      <c r="T28" s="175">
        <v>453575.55</v>
      </c>
      <c r="U28" s="175"/>
      <c r="V28" s="176">
        <v>0</v>
      </c>
      <c r="W28" s="175"/>
      <c r="X28" s="175"/>
      <c r="Y28" s="175">
        <v>0</v>
      </c>
      <c r="Z28" s="175">
        <v>0</v>
      </c>
      <c r="AA28" s="172"/>
      <c r="AB28" s="169">
        <f t="shared" si="29"/>
        <v>453575.55</v>
      </c>
      <c r="AC28" s="147"/>
      <c r="AD28" s="148"/>
      <c r="AE28" s="147"/>
    </row>
    <row r="29" spans="1:31" x14ac:dyDescent="0.2">
      <c r="A29" s="174">
        <v>7147</v>
      </c>
      <c r="B29" s="168" t="s">
        <v>236</v>
      </c>
      <c r="C29" s="175"/>
      <c r="D29" s="175"/>
      <c r="E29" s="175"/>
      <c r="F29" s="175">
        <v>209099.09999999998</v>
      </c>
      <c r="G29" s="175"/>
      <c r="H29" s="175">
        <v>104224.7</v>
      </c>
      <c r="I29" s="169"/>
      <c r="J29" s="175"/>
      <c r="K29" s="175"/>
      <c r="L29" s="175">
        <v>0</v>
      </c>
      <c r="M29" s="175">
        <v>51279.07</v>
      </c>
      <c r="N29" s="175">
        <v>49052.29</v>
      </c>
      <c r="O29" s="175"/>
      <c r="P29" s="175">
        <v>3601</v>
      </c>
      <c r="Q29" s="175">
        <v>23662.11</v>
      </c>
      <c r="R29" s="175"/>
      <c r="S29" s="175">
        <v>0</v>
      </c>
      <c r="T29" s="175">
        <v>0</v>
      </c>
      <c r="U29" s="175">
        <v>108972.47</v>
      </c>
      <c r="V29" s="170">
        <v>146579.60999999999</v>
      </c>
      <c r="W29" s="175"/>
      <c r="X29" s="175"/>
      <c r="Y29" s="175">
        <v>5370.74</v>
      </c>
      <c r="Z29" s="175">
        <v>0</v>
      </c>
      <c r="AA29" s="172">
        <v>0</v>
      </c>
      <c r="AB29" s="169">
        <f t="shared" si="29"/>
        <v>701841.09</v>
      </c>
      <c r="AC29" s="147"/>
      <c r="AD29" s="148"/>
      <c r="AE29" s="147"/>
    </row>
    <row r="30" spans="1:31" s="150" customFormat="1" x14ac:dyDescent="0.2">
      <c r="A30" s="174">
        <v>7148</v>
      </c>
      <c r="B30" s="168" t="s">
        <v>237</v>
      </c>
      <c r="C30" s="169">
        <v>8721.4</v>
      </c>
      <c r="D30" s="169">
        <v>227179.2</v>
      </c>
      <c r="E30" s="169">
        <v>169247.81</v>
      </c>
      <c r="F30" s="169">
        <v>152662.41999999998</v>
      </c>
      <c r="G30" s="169">
        <v>147590.54</v>
      </c>
      <c r="H30" s="169">
        <v>66492.77</v>
      </c>
      <c r="I30" s="169">
        <v>77215.08</v>
      </c>
      <c r="J30" s="169">
        <v>8502.94</v>
      </c>
      <c r="K30" s="169">
        <v>120504.52</v>
      </c>
      <c r="L30" s="169">
        <f>25786.79+L31</f>
        <v>53252.05</v>
      </c>
      <c r="M30" s="169">
        <v>191432.23</v>
      </c>
      <c r="N30" s="169">
        <v>21970.83</v>
      </c>
      <c r="O30" s="169">
        <v>321434.89</v>
      </c>
      <c r="P30" s="169">
        <v>8495.93</v>
      </c>
      <c r="Q30" s="169">
        <v>28865.72</v>
      </c>
      <c r="R30" s="169">
        <v>21930.23</v>
      </c>
      <c r="S30" s="169">
        <v>95940.61</v>
      </c>
      <c r="T30" s="169">
        <v>903595.01</v>
      </c>
      <c r="U30" s="169">
        <v>111508.76</v>
      </c>
      <c r="V30" s="170">
        <v>90519.59</v>
      </c>
      <c r="W30" s="169">
        <v>149763.79</v>
      </c>
      <c r="X30" s="169">
        <v>31140.16</v>
      </c>
      <c r="Y30" s="175">
        <v>3855.2</v>
      </c>
      <c r="Z30" s="175">
        <v>44495.27</v>
      </c>
      <c r="AA30" s="180">
        <v>105751.51000000001</v>
      </c>
      <c r="AB30" s="169">
        <f t="shared" si="29"/>
        <v>3162068.46</v>
      </c>
      <c r="AC30" s="147"/>
      <c r="AD30" s="148"/>
      <c r="AE30" s="149"/>
    </row>
    <row r="31" spans="1:31" x14ac:dyDescent="0.2">
      <c r="A31" s="174">
        <v>71489</v>
      </c>
      <c r="B31" s="168" t="s">
        <v>238</v>
      </c>
      <c r="C31" s="169">
        <v>6654.62</v>
      </c>
      <c r="D31" s="169">
        <v>137674.95000000001</v>
      </c>
      <c r="E31" s="169"/>
      <c r="F31" s="169"/>
      <c r="G31" s="169">
        <v>316175.86</v>
      </c>
      <c r="H31" s="169"/>
      <c r="I31" s="169">
        <v>12984.86</v>
      </c>
      <c r="J31" s="169"/>
      <c r="K31" s="169">
        <v>246077.56</v>
      </c>
      <c r="L31" s="169">
        <v>27465.26</v>
      </c>
      <c r="M31" s="169"/>
      <c r="N31" s="169"/>
      <c r="O31" s="169">
        <v>586278.73</v>
      </c>
      <c r="P31" s="169"/>
      <c r="Q31" s="169"/>
      <c r="R31" s="169"/>
      <c r="S31" s="169">
        <v>93801.75</v>
      </c>
      <c r="T31" s="169">
        <v>760861.08</v>
      </c>
      <c r="U31" s="169"/>
      <c r="V31" s="178">
        <v>0</v>
      </c>
      <c r="W31" s="169"/>
      <c r="X31" s="169">
        <v>4521.3500000000004</v>
      </c>
      <c r="Y31" s="169">
        <v>0</v>
      </c>
      <c r="Z31" s="169">
        <v>91793.96</v>
      </c>
      <c r="AA31" s="171">
        <v>900</v>
      </c>
      <c r="AB31" s="169">
        <f t="shared" si="29"/>
        <v>2285189.98</v>
      </c>
      <c r="AC31" s="147"/>
      <c r="AD31" s="148"/>
      <c r="AE31" s="147"/>
    </row>
    <row r="32" spans="1:31" x14ac:dyDescent="0.2">
      <c r="A32" s="174" t="s">
        <v>239</v>
      </c>
      <c r="B32" s="168" t="s">
        <v>54</v>
      </c>
      <c r="C32" s="169"/>
      <c r="D32" s="169"/>
      <c r="E32" s="169"/>
      <c r="F32" s="169">
        <v>54598.689999999995</v>
      </c>
      <c r="G32" s="169"/>
      <c r="H32" s="169"/>
      <c r="I32" s="169">
        <v>9626.7999999999993</v>
      </c>
      <c r="J32" s="169">
        <v>684.19</v>
      </c>
      <c r="K32" s="169">
        <v>283.3</v>
      </c>
      <c r="L32" s="169">
        <v>0</v>
      </c>
      <c r="M32" s="169">
        <v>2255437.1800000002</v>
      </c>
      <c r="N32" s="169"/>
      <c r="O32" s="169">
        <v>27123.82</v>
      </c>
      <c r="P32" s="169">
        <v>5785.09</v>
      </c>
      <c r="Q32" s="169">
        <v>8665.5</v>
      </c>
      <c r="R32" s="169"/>
      <c r="S32" s="169">
        <v>2359781.6</v>
      </c>
      <c r="T32" s="169">
        <v>17546.310000000001</v>
      </c>
      <c r="U32" s="169"/>
      <c r="V32" s="170">
        <v>184399.52</v>
      </c>
      <c r="W32" s="169">
        <v>565837.67000000004</v>
      </c>
      <c r="X32" s="169">
        <v>13917.88</v>
      </c>
      <c r="Y32" s="169">
        <v>0</v>
      </c>
      <c r="Z32" s="169">
        <v>0</v>
      </c>
      <c r="AA32" s="173">
        <v>0</v>
      </c>
      <c r="AB32" s="169">
        <f t="shared" si="29"/>
        <v>5503687.5499999989</v>
      </c>
      <c r="AC32" s="147"/>
      <c r="AD32" s="148"/>
      <c r="AE32" s="147"/>
    </row>
    <row r="33" spans="1:31" x14ac:dyDescent="0.2">
      <c r="A33" s="162">
        <v>715</v>
      </c>
      <c r="B33" s="163" t="s">
        <v>240</v>
      </c>
      <c r="C33" s="164">
        <f t="shared" ref="C33" si="34">SUM(C34:C39)</f>
        <v>23473.879999999997</v>
      </c>
      <c r="D33" s="164">
        <f t="shared" ref="D33" si="35">SUM(D34:D39)</f>
        <v>747896.23</v>
      </c>
      <c r="E33" s="164">
        <f t="shared" ref="E33" si="36">SUM(E34:E39)</f>
        <v>197033.01</v>
      </c>
      <c r="F33" s="164">
        <f t="shared" ref="F33:W33" si="37">SUM(F34:F39)</f>
        <v>202418.23</v>
      </c>
      <c r="G33" s="164">
        <f t="shared" ref="G33" si="38">SUM(G34:G39)</f>
        <v>3082967.29</v>
      </c>
      <c r="H33" s="164">
        <f t="shared" si="37"/>
        <v>992820.74</v>
      </c>
      <c r="I33" s="165">
        <f t="shared" ref="I33" si="39">SUM(I34:I39)</f>
        <v>145858.82</v>
      </c>
      <c r="J33" s="164">
        <f t="shared" si="37"/>
        <v>178102.56</v>
      </c>
      <c r="K33" s="164">
        <f t="shared" ref="K33" si="40">SUM(K34:K39)</f>
        <v>950816.13000000012</v>
      </c>
      <c r="L33" s="164">
        <f t="shared" ref="L33" si="41">SUM(L34:L39)</f>
        <v>36803.520000000004</v>
      </c>
      <c r="M33" s="164">
        <f t="shared" ref="M33" si="42">SUM(M34:M39)</f>
        <v>4047133.94</v>
      </c>
      <c r="N33" s="164">
        <f t="shared" ref="N33" si="43">SUM(N34:N39)</f>
        <v>68513.95</v>
      </c>
      <c r="O33" s="164">
        <f t="shared" si="37"/>
        <v>889146.12999999989</v>
      </c>
      <c r="P33" s="164">
        <f t="shared" ref="P33" si="44">SUM(P34:P39)</f>
        <v>1558.83</v>
      </c>
      <c r="Q33" s="164">
        <f t="shared" si="37"/>
        <v>73289.13</v>
      </c>
      <c r="R33" s="164">
        <f t="shared" si="37"/>
        <v>80513.98000000001</v>
      </c>
      <c r="S33" s="164">
        <f>SUM(S34:S39)</f>
        <v>147515.51</v>
      </c>
      <c r="T33" s="164">
        <f t="shared" ref="T33" si="45">SUM(T34:T39)</f>
        <v>4887634.26</v>
      </c>
      <c r="U33" s="164">
        <f t="shared" ref="U33" si="46">SUM(U34:U39)</f>
        <v>62397.810000000005</v>
      </c>
      <c r="V33" s="166">
        <f t="shared" ref="V33" si="47">SUM(V34:V39)</f>
        <v>753774.35000000009</v>
      </c>
      <c r="W33" s="164">
        <f t="shared" si="37"/>
        <v>160003.29999999999</v>
      </c>
      <c r="X33" s="164">
        <f t="shared" ref="X33" si="48">SUM(X34:X39)</f>
        <v>64807.14</v>
      </c>
      <c r="Y33" s="164">
        <f t="shared" ref="Y33:AA33" si="49">SUM(Y34:Y39)</f>
        <v>749.15</v>
      </c>
      <c r="Z33" s="164">
        <f t="shared" si="49"/>
        <v>13646.269999999999</v>
      </c>
      <c r="AA33" s="164">
        <f t="shared" si="49"/>
        <v>96687.88</v>
      </c>
      <c r="AB33" s="164">
        <f t="shared" ref="AB33" si="50">SUM(AB34:AB39)</f>
        <v>17905562.039999999</v>
      </c>
      <c r="AC33" s="147"/>
      <c r="AD33" s="148"/>
      <c r="AE33" s="147"/>
    </row>
    <row r="34" spans="1:31" x14ac:dyDescent="0.2">
      <c r="A34" s="167" t="s">
        <v>241</v>
      </c>
      <c r="B34" s="168" t="s">
        <v>242</v>
      </c>
      <c r="C34" s="175">
        <v>3542</v>
      </c>
      <c r="D34" s="175">
        <v>401287.1</v>
      </c>
      <c r="E34" s="175">
        <v>146001.75</v>
      </c>
      <c r="F34" s="175"/>
      <c r="G34" s="175"/>
      <c r="H34" s="175">
        <v>6588.19</v>
      </c>
      <c r="I34" s="169">
        <v>22758.37</v>
      </c>
      <c r="J34" s="175">
        <v>3892.4</v>
      </c>
      <c r="K34" s="175"/>
      <c r="L34" s="175">
        <v>5806.26</v>
      </c>
      <c r="M34" s="175">
        <v>435964.47</v>
      </c>
      <c r="N34" s="175"/>
      <c r="O34" s="175"/>
      <c r="P34" s="175"/>
      <c r="Q34" s="175">
        <v>50118.950000000004</v>
      </c>
      <c r="R34" s="175">
        <v>5304</v>
      </c>
      <c r="S34" s="175">
        <v>21062.17</v>
      </c>
      <c r="T34" s="175">
        <v>1375642.21</v>
      </c>
      <c r="U34" s="175">
        <v>14581.03</v>
      </c>
      <c r="V34" s="170">
        <v>224999.87</v>
      </c>
      <c r="W34" s="175">
        <v>4496.7</v>
      </c>
      <c r="X34" s="175"/>
      <c r="Y34" s="175">
        <v>232.39</v>
      </c>
      <c r="Z34" s="175">
        <v>13.1</v>
      </c>
      <c r="AA34" s="173">
        <v>0</v>
      </c>
      <c r="AB34" s="169">
        <f t="shared" si="29"/>
        <v>2722290.9600000004</v>
      </c>
      <c r="AC34" s="147"/>
      <c r="AD34" s="148"/>
      <c r="AE34" s="147"/>
    </row>
    <row r="35" spans="1:31" x14ac:dyDescent="0.2">
      <c r="A35" s="167" t="s">
        <v>243</v>
      </c>
      <c r="B35" s="168" t="s">
        <v>244</v>
      </c>
      <c r="C35" s="169">
        <v>142.28</v>
      </c>
      <c r="D35" s="169">
        <v>215715.29</v>
      </c>
      <c r="E35" s="169">
        <v>2513.89</v>
      </c>
      <c r="F35" s="169">
        <v>45622.630000000005</v>
      </c>
      <c r="G35" s="169">
        <v>624594.84</v>
      </c>
      <c r="H35" s="169">
        <v>44868.95</v>
      </c>
      <c r="I35" s="169">
        <v>3672.68</v>
      </c>
      <c r="J35" s="169">
        <v>2704.34</v>
      </c>
      <c r="K35" s="169">
        <v>524749.80000000005</v>
      </c>
      <c r="L35" s="169">
        <v>19510.669999999998</v>
      </c>
      <c r="M35" s="169">
        <v>314893.84000000003</v>
      </c>
      <c r="N35" s="169">
        <v>1953.54</v>
      </c>
      <c r="O35" s="169">
        <v>196575.31</v>
      </c>
      <c r="P35" s="169">
        <v>260</v>
      </c>
      <c r="Q35" s="169">
        <v>2068.23</v>
      </c>
      <c r="R35" s="169">
        <v>15985.22</v>
      </c>
      <c r="S35" s="169">
        <v>12198.33</v>
      </c>
      <c r="T35" s="179">
        <f>1073988.44-137056.48</f>
        <v>936931.96</v>
      </c>
      <c r="U35" s="169"/>
      <c r="V35" s="170">
        <v>141215.35999999999</v>
      </c>
      <c r="W35" s="169">
        <v>93049.06</v>
      </c>
      <c r="X35" s="169">
        <v>19934.34</v>
      </c>
      <c r="Y35" s="169">
        <v>321.76</v>
      </c>
      <c r="Z35" s="169">
        <v>3628.8</v>
      </c>
      <c r="AA35" s="171">
        <v>93897.88</v>
      </c>
      <c r="AB35" s="169">
        <f t="shared" si="29"/>
        <v>3317008.9999999991</v>
      </c>
      <c r="AC35" s="147"/>
      <c r="AD35" s="148"/>
      <c r="AE35" s="147"/>
    </row>
    <row r="36" spans="1:31" x14ac:dyDescent="0.2">
      <c r="A36" s="167">
        <v>71525</v>
      </c>
      <c r="B36" s="168" t="s">
        <v>245</v>
      </c>
      <c r="C36" s="175"/>
      <c r="D36" s="175"/>
      <c r="E36" s="175"/>
      <c r="F36" s="175"/>
      <c r="G36" s="175">
        <v>1154173.1299999999</v>
      </c>
      <c r="H36" s="175"/>
      <c r="I36" s="169"/>
      <c r="J36" s="175"/>
      <c r="K36" s="175"/>
      <c r="L36" s="175">
        <v>0</v>
      </c>
      <c r="M36" s="175"/>
      <c r="N36" s="175"/>
      <c r="O36" s="175"/>
      <c r="P36" s="175"/>
      <c r="Q36" s="175"/>
      <c r="R36" s="175"/>
      <c r="S36" s="175">
        <v>366.82</v>
      </c>
      <c r="T36" s="181">
        <v>137056.48000000001</v>
      </c>
      <c r="U36" s="175"/>
      <c r="V36" s="176">
        <v>0</v>
      </c>
      <c r="W36" s="175"/>
      <c r="X36" s="175">
        <v>4322.07</v>
      </c>
      <c r="Y36" s="175">
        <v>0</v>
      </c>
      <c r="Z36" s="175">
        <v>0</v>
      </c>
      <c r="AA36" s="172">
        <v>0</v>
      </c>
      <c r="AB36" s="169">
        <f t="shared" si="29"/>
        <v>1295918.5</v>
      </c>
      <c r="AC36" s="147"/>
      <c r="AD36" s="148"/>
      <c r="AE36" s="147"/>
    </row>
    <row r="37" spans="1:31" x14ac:dyDescent="0.2">
      <c r="A37" s="167" t="s">
        <v>246</v>
      </c>
      <c r="B37" s="168" t="s">
        <v>247</v>
      </c>
      <c r="C37" s="169">
        <v>4998.71</v>
      </c>
      <c r="D37" s="169">
        <v>27955</v>
      </c>
      <c r="E37" s="169">
        <v>24455.56</v>
      </c>
      <c r="F37" s="169">
        <v>116628.08</v>
      </c>
      <c r="G37" s="169"/>
      <c r="H37" s="169">
        <v>273296</v>
      </c>
      <c r="I37" s="169">
        <v>50508.43</v>
      </c>
      <c r="J37" s="169"/>
      <c r="K37" s="169">
        <v>17646.18</v>
      </c>
      <c r="L37" s="169">
        <v>0</v>
      </c>
      <c r="M37" s="169">
        <v>2181346.5499999998</v>
      </c>
      <c r="N37" s="169">
        <v>4122.8100000000004</v>
      </c>
      <c r="O37" s="169">
        <v>56069.87</v>
      </c>
      <c r="P37" s="169"/>
      <c r="Q37" s="169"/>
      <c r="R37" s="169">
        <v>23510.57</v>
      </c>
      <c r="S37" s="169">
        <v>72623.66</v>
      </c>
      <c r="T37" s="169">
        <v>390968.99</v>
      </c>
      <c r="U37" s="169">
        <v>12527.52</v>
      </c>
      <c r="V37" s="170">
        <v>1572.28</v>
      </c>
      <c r="W37" s="169">
        <v>30023.119999999999</v>
      </c>
      <c r="X37" s="169">
        <v>28319.27</v>
      </c>
      <c r="Y37" s="169">
        <v>0</v>
      </c>
      <c r="Z37" s="169">
        <v>7497.23</v>
      </c>
      <c r="AA37" s="172">
        <v>0</v>
      </c>
      <c r="AB37" s="169">
        <f t="shared" si="29"/>
        <v>3324069.83</v>
      </c>
      <c r="AC37" s="147"/>
      <c r="AD37" s="148"/>
      <c r="AE37" s="147"/>
    </row>
    <row r="38" spans="1:31" x14ac:dyDescent="0.2">
      <c r="A38" s="167">
        <v>71532</v>
      </c>
      <c r="B38" s="168" t="s">
        <v>248</v>
      </c>
      <c r="C38" s="175"/>
      <c r="D38" s="175"/>
      <c r="E38" s="175"/>
      <c r="F38" s="175"/>
      <c r="G38" s="175"/>
      <c r="H38" s="175"/>
      <c r="I38" s="169"/>
      <c r="J38" s="175"/>
      <c r="K38" s="175"/>
      <c r="L38" s="175">
        <v>0</v>
      </c>
      <c r="M38" s="175"/>
      <c r="N38" s="175"/>
      <c r="O38" s="175"/>
      <c r="P38" s="175"/>
      <c r="Q38" s="175"/>
      <c r="R38" s="175"/>
      <c r="S38" s="175">
        <v>0</v>
      </c>
      <c r="T38" s="175">
        <v>0</v>
      </c>
      <c r="U38" s="175"/>
      <c r="V38" s="176">
        <v>0</v>
      </c>
      <c r="W38" s="175"/>
      <c r="X38" s="175"/>
      <c r="Y38" s="175">
        <v>0</v>
      </c>
      <c r="Z38" s="175">
        <v>0</v>
      </c>
      <c r="AA38" s="172">
        <v>0</v>
      </c>
      <c r="AB38" s="169">
        <f t="shared" si="29"/>
        <v>0</v>
      </c>
      <c r="AC38" s="147"/>
      <c r="AD38" s="148"/>
      <c r="AE38" s="147"/>
    </row>
    <row r="39" spans="1:31" x14ac:dyDescent="0.2">
      <c r="A39" s="167" t="s">
        <v>249</v>
      </c>
      <c r="B39" s="168" t="s">
        <v>240</v>
      </c>
      <c r="C39" s="169">
        <v>14790.89</v>
      </c>
      <c r="D39" s="169">
        <v>102938.84</v>
      </c>
      <c r="E39" s="169">
        <v>24061.81</v>
      </c>
      <c r="F39" s="169">
        <v>40167.519999999997</v>
      </c>
      <c r="G39" s="169">
        <v>1304199.32</v>
      </c>
      <c r="H39" s="169">
        <v>668067.6</v>
      </c>
      <c r="I39" s="169">
        <v>68919.34</v>
      </c>
      <c r="J39" s="169">
        <v>171505.82</v>
      </c>
      <c r="K39" s="169">
        <v>408420.15</v>
      </c>
      <c r="L39" s="169">
        <v>11486.59</v>
      </c>
      <c r="M39" s="169">
        <v>1114929.08</v>
      </c>
      <c r="N39" s="169">
        <v>62437.599999999999</v>
      </c>
      <c r="O39" s="169">
        <v>636500.94999999995</v>
      </c>
      <c r="P39" s="169">
        <v>1298.83</v>
      </c>
      <c r="Q39" s="169">
        <v>21101.95</v>
      </c>
      <c r="R39" s="169">
        <v>35714.19</v>
      </c>
      <c r="S39" s="169">
        <v>41264.53</v>
      </c>
      <c r="T39" s="169">
        <v>2047034.62</v>
      </c>
      <c r="U39" s="169">
        <v>35289.26</v>
      </c>
      <c r="V39" s="170">
        <v>385986.84</v>
      </c>
      <c r="W39" s="169">
        <v>32434.42</v>
      </c>
      <c r="X39" s="169">
        <v>12231.46</v>
      </c>
      <c r="Y39" s="169">
        <v>195</v>
      </c>
      <c r="Z39" s="169">
        <v>2507.14</v>
      </c>
      <c r="AA39" s="173">
        <v>2790</v>
      </c>
      <c r="AB39" s="169">
        <f t="shared" si="29"/>
        <v>7246273.75</v>
      </c>
      <c r="AC39" s="147"/>
      <c r="AD39" s="148"/>
      <c r="AE39" s="147"/>
    </row>
    <row r="40" spans="1:31" x14ac:dyDescent="0.2">
      <c r="A40" s="156">
        <v>72</v>
      </c>
      <c r="B40" s="157" t="s">
        <v>250</v>
      </c>
      <c r="C40" s="158">
        <f t="shared" ref="C40" si="51">+C41+C44</f>
        <v>0</v>
      </c>
      <c r="D40" s="158">
        <f t="shared" ref="D40:E40" si="52">+D41+D44</f>
        <v>1282026</v>
      </c>
      <c r="E40" s="158">
        <f t="shared" si="52"/>
        <v>1039505.4099999999</v>
      </c>
      <c r="F40" s="158">
        <f t="shared" ref="F40:Y40" si="53">+F41+F44</f>
        <v>8905</v>
      </c>
      <c r="G40" s="158">
        <f t="shared" si="53"/>
        <v>1162170.72</v>
      </c>
      <c r="H40" s="158">
        <f t="shared" si="53"/>
        <v>82777.41</v>
      </c>
      <c r="I40" s="159">
        <f t="shared" si="53"/>
        <v>0</v>
      </c>
      <c r="J40" s="158">
        <f t="shared" si="53"/>
        <v>12540</v>
      </c>
      <c r="K40" s="158">
        <f t="shared" ref="K40:L40" si="54">+K41+K44</f>
        <v>611526</v>
      </c>
      <c r="L40" s="158">
        <f t="shared" si="54"/>
        <v>8218.3799999999992</v>
      </c>
      <c r="M40" s="158">
        <f t="shared" si="53"/>
        <v>210738</v>
      </c>
      <c r="N40" s="158">
        <f t="shared" si="53"/>
        <v>12220.63</v>
      </c>
      <c r="O40" s="158">
        <f t="shared" si="53"/>
        <v>2007594.5</v>
      </c>
      <c r="P40" s="158">
        <f t="shared" si="53"/>
        <v>0</v>
      </c>
      <c r="Q40" s="158">
        <f t="shared" si="53"/>
        <v>0</v>
      </c>
      <c r="R40" s="158">
        <f t="shared" si="53"/>
        <v>135730.5</v>
      </c>
      <c r="S40" s="158">
        <f>+S41+S44</f>
        <v>53007.92</v>
      </c>
      <c r="T40" s="158">
        <f t="shared" ref="T40:V40" si="55">+T41+T44</f>
        <v>864307.24</v>
      </c>
      <c r="U40" s="158">
        <f t="shared" si="55"/>
        <v>44619.26</v>
      </c>
      <c r="V40" s="160">
        <f t="shared" si="55"/>
        <v>282476.11</v>
      </c>
      <c r="W40" s="158">
        <f t="shared" si="53"/>
        <v>223122.52</v>
      </c>
      <c r="X40" s="158">
        <f t="shared" si="53"/>
        <v>70386.53</v>
      </c>
      <c r="Y40" s="161">
        <f t="shared" si="53"/>
        <v>0</v>
      </c>
      <c r="Z40" s="161">
        <f t="shared" ref="Z40:AA40" si="56">+Z41+Z44</f>
        <v>0</v>
      </c>
      <c r="AA40" s="161">
        <f t="shared" si="56"/>
        <v>0</v>
      </c>
      <c r="AB40" s="158">
        <f t="shared" ref="AB40" si="57">+AB41+AB44</f>
        <v>8111872.1299999999</v>
      </c>
      <c r="AC40" s="147"/>
      <c r="AD40" s="148"/>
      <c r="AE40" s="147"/>
    </row>
    <row r="41" spans="1:31" x14ac:dyDescent="0.2">
      <c r="A41" s="162" t="s">
        <v>251</v>
      </c>
      <c r="B41" s="163" t="s">
        <v>252</v>
      </c>
      <c r="C41" s="164">
        <f t="shared" ref="C41" si="58">SUM(C42:C43)</f>
        <v>0</v>
      </c>
      <c r="D41" s="164">
        <f t="shared" ref="D41" si="59">SUM(D42:D43)</f>
        <v>1282026</v>
      </c>
      <c r="E41" s="164">
        <f t="shared" ref="E41" si="60">SUM(E42:E43)</f>
        <v>1039505.4099999999</v>
      </c>
      <c r="F41" s="164">
        <f t="shared" ref="F41:W41" si="61">SUM(F42:F43)</f>
        <v>8905</v>
      </c>
      <c r="G41" s="164">
        <f t="shared" ref="G41" si="62">SUM(G42:G43)</f>
        <v>1162170.72</v>
      </c>
      <c r="H41" s="164">
        <f t="shared" si="61"/>
        <v>82777.41</v>
      </c>
      <c r="I41" s="165">
        <f t="shared" ref="I41" si="63">SUM(I42:I43)</f>
        <v>0</v>
      </c>
      <c r="J41" s="164">
        <f t="shared" si="61"/>
        <v>12540</v>
      </c>
      <c r="K41" s="164">
        <f t="shared" ref="K41" si="64">SUM(K42:K43)</f>
        <v>611526</v>
      </c>
      <c r="L41" s="164">
        <f t="shared" ref="L41" si="65">SUM(L42:L43)</f>
        <v>8218.3799999999992</v>
      </c>
      <c r="M41" s="164">
        <f t="shared" ref="M41:N41" si="66">SUM(M42:M43)</f>
        <v>210738</v>
      </c>
      <c r="N41" s="164">
        <f t="shared" si="66"/>
        <v>12220.63</v>
      </c>
      <c r="O41" s="164">
        <f t="shared" si="61"/>
        <v>2007594.5</v>
      </c>
      <c r="P41" s="164">
        <f t="shared" ref="P41" si="67">SUM(P42:P43)</f>
        <v>0</v>
      </c>
      <c r="Q41" s="164">
        <f t="shared" si="61"/>
        <v>0</v>
      </c>
      <c r="R41" s="164">
        <f t="shared" si="61"/>
        <v>135730.5</v>
      </c>
      <c r="S41" s="164">
        <f>SUM(S42:S43)</f>
        <v>53007.92</v>
      </c>
      <c r="T41" s="164">
        <f t="shared" ref="T41" si="68">SUM(T42:T43)</f>
        <v>864307.24</v>
      </c>
      <c r="U41" s="164">
        <f t="shared" ref="U41" si="69">SUM(U42:U43)</f>
        <v>44619.26</v>
      </c>
      <c r="V41" s="166">
        <f t="shared" ref="V41" si="70">SUM(V42:V43)</f>
        <v>282476.11</v>
      </c>
      <c r="W41" s="164">
        <f t="shared" si="61"/>
        <v>223122.52</v>
      </c>
      <c r="X41" s="164">
        <f t="shared" ref="X41" si="71">SUM(X42:X43)</f>
        <v>70386.53</v>
      </c>
      <c r="Y41" s="164">
        <f t="shared" ref="Y41:AA41" si="72">SUM(Y42:Y43)</f>
        <v>0</v>
      </c>
      <c r="Z41" s="164">
        <f t="shared" si="72"/>
        <v>0</v>
      </c>
      <c r="AA41" s="164">
        <f t="shared" si="72"/>
        <v>0</v>
      </c>
      <c r="AB41" s="164">
        <f t="shared" ref="AB41" si="73">SUM(AB42:AB43)</f>
        <v>8111872.1299999999</v>
      </c>
      <c r="AC41" s="147"/>
      <c r="AD41" s="148"/>
      <c r="AE41" s="147"/>
    </row>
    <row r="42" spans="1:31" x14ac:dyDescent="0.2">
      <c r="A42" s="174" t="s">
        <v>253</v>
      </c>
      <c r="B42" s="168" t="s">
        <v>254</v>
      </c>
      <c r="C42" s="175"/>
      <c r="D42" s="175">
        <v>1282026</v>
      </c>
      <c r="E42" s="175">
        <v>1039505.4099999999</v>
      </c>
      <c r="F42" s="175">
        <v>8905</v>
      </c>
      <c r="G42" s="175">
        <v>1162170.72</v>
      </c>
      <c r="H42" s="175">
        <v>82777.41</v>
      </c>
      <c r="I42" s="169">
        <v>0</v>
      </c>
      <c r="J42" s="175">
        <v>12540</v>
      </c>
      <c r="K42" s="175">
        <v>611526</v>
      </c>
      <c r="L42" s="175">
        <v>8218.3799999999992</v>
      </c>
      <c r="M42" s="175">
        <v>210738</v>
      </c>
      <c r="N42" s="175">
        <v>12220.63</v>
      </c>
      <c r="O42" s="175">
        <v>2007594.5</v>
      </c>
      <c r="P42" s="175"/>
      <c r="Q42" s="175"/>
      <c r="R42" s="175">
        <v>135730.5</v>
      </c>
      <c r="S42" s="175">
        <v>53007.92</v>
      </c>
      <c r="T42" s="175">
        <v>864307.24</v>
      </c>
      <c r="U42" s="175">
        <v>44619.26</v>
      </c>
      <c r="V42" s="170">
        <v>282476.11</v>
      </c>
      <c r="W42" s="175">
        <v>223122.52</v>
      </c>
      <c r="X42" s="175">
        <v>70386.53</v>
      </c>
      <c r="Y42" s="175">
        <v>0</v>
      </c>
      <c r="Z42" s="175">
        <v>0</v>
      </c>
      <c r="AA42" s="171">
        <v>0</v>
      </c>
      <c r="AB42" s="169">
        <f t="shared" ref="AB42:AB49" si="74">SUM(C42:AA42)</f>
        <v>8111872.1299999999</v>
      </c>
      <c r="AC42" s="147"/>
      <c r="AD42" s="148"/>
      <c r="AE42" s="147"/>
    </row>
    <row r="43" spans="1:31" x14ac:dyDescent="0.2">
      <c r="A43" s="174">
        <v>7212</v>
      </c>
      <c r="B43" s="168" t="s">
        <v>255</v>
      </c>
      <c r="C43" s="175"/>
      <c r="D43" s="175"/>
      <c r="E43" s="175"/>
      <c r="F43" s="175"/>
      <c r="G43" s="175"/>
      <c r="H43" s="175"/>
      <c r="I43" s="169"/>
      <c r="J43" s="175"/>
      <c r="K43" s="175"/>
      <c r="L43" s="175">
        <v>0</v>
      </c>
      <c r="M43" s="175"/>
      <c r="N43" s="175"/>
      <c r="O43" s="175"/>
      <c r="P43" s="175"/>
      <c r="Q43" s="175"/>
      <c r="R43" s="175"/>
      <c r="S43" s="175"/>
      <c r="T43" s="175">
        <v>0</v>
      </c>
      <c r="U43" s="175"/>
      <c r="V43" s="176">
        <v>0</v>
      </c>
      <c r="W43" s="175"/>
      <c r="X43" s="175"/>
      <c r="Y43" s="175">
        <v>0</v>
      </c>
      <c r="Z43" s="175">
        <v>0</v>
      </c>
      <c r="AA43" s="173">
        <v>0</v>
      </c>
      <c r="AB43" s="169">
        <f t="shared" si="74"/>
        <v>0</v>
      </c>
      <c r="AC43" s="147"/>
      <c r="AD43" s="148"/>
      <c r="AE43" s="147"/>
    </row>
    <row r="44" spans="1:31" x14ac:dyDescent="0.2">
      <c r="A44" s="162" t="s">
        <v>256</v>
      </c>
      <c r="B44" s="163" t="s">
        <v>257</v>
      </c>
      <c r="C44" s="164">
        <f>SUM(C45:C46)</f>
        <v>0</v>
      </c>
      <c r="D44" s="164">
        <f>SUM(D45:D46)</f>
        <v>0</v>
      </c>
      <c r="E44" s="164">
        <f>SUM(E45:E46)</f>
        <v>0</v>
      </c>
      <c r="F44" s="164">
        <f t="shared" ref="F44:W44" si="75">SUM(F45:F46)</f>
        <v>0</v>
      </c>
      <c r="G44" s="164">
        <f>SUM(G45:G46)</f>
        <v>0</v>
      </c>
      <c r="H44" s="164">
        <f t="shared" si="75"/>
        <v>0</v>
      </c>
      <c r="I44" s="165">
        <f>SUM(I45:I46)</f>
        <v>0</v>
      </c>
      <c r="J44" s="164">
        <f t="shared" ref="J44:N44" si="76">SUM(J45:J46)</f>
        <v>0</v>
      </c>
      <c r="K44" s="164">
        <f t="shared" si="76"/>
        <v>0</v>
      </c>
      <c r="L44" s="164">
        <f>SUM(L45:L46)</f>
        <v>0</v>
      </c>
      <c r="M44" s="164">
        <f t="shared" si="76"/>
        <v>0</v>
      </c>
      <c r="N44" s="164">
        <f t="shared" si="76"/>
        <v>0</v>
      </c>
      <c r="O44" s="164">
        <f t="shared" si="75"/>
        <v>0</v>
      </c>
      <c r="P44" s="164">
        <f>SUM(P45:P46)</f>
        <v>0</v>
      </c>
      <c r="Q44" s="164">
        <f t="shared" si="75"/>
        <v>0</v>
      </c>
      <c r="R44" s="164">
        <f>SUM(R45:R46)</f>
        <v>0</v>
      </c>
      <c r="S44" s="164">
        <f>SUM(S45:S46)</f>
        <v>0</v>
      </c>
      <c r="T44" s="164">
        <f>SUM(T45:T46)</f>
        <v>0</v>
      </c>
      <c r="U44" s="164">
        <f>SUM(U45:U46)</f>
        <v>0</v>
      </c>
      <c r="V44" s="166">
        <f>SUM(V45:V46)</f>
        <v>0</v>
      </c>
      <c r="W44" s="164">
        <f t="shared" si="75"/>
        <v>0</v>
      </c>
      <c r="X44" s="164">
        <f>SUM(X45:X46)</f>
        <v>0</v>
      </c>
      <c r="Y44" s="164">
        <f>SUM(Y45:Y46)</f>
        <v>0</v>
      </c>
      <c r="Z44" s="164">
        <f t="shared" ref="Z44:AA44" si="77">SUM(Z45:Z46)</f>
        <v>0</v>
      </c>
      <c r="AA44" s="164">
        <f t="shared" si="77"/>
        <v>0</v>
      </c>
      <c r="AB44" s="164">
        <f t="shared" ref="AB44" si="78">SUM(AB45:AB46)</f>
        <v>0</v>
      </c>
      <c r="AC44" s="147"/>
      <c r="AD44" s="148"/>
      <c r="AE44" s="147"/>
    </row>
    <row r="45" spans="1:31" x14ac:dyDescent="0.2">
      <c r="A45" s="174" t="s">
        <v>258</v>
      </c>
      <c r="B45" s="168" t="s">
        <v>259</v>
      </c>
      <c r="C45" s="175"/>
      <c r="D45" s="175"/>
      <c r="E45" s="175"/>
      <c r="F45" s="175"/>
      <c r="G45" s="175"/>
      <c r="H45" s="175"/>
      <c r="I45" s="169"/>
      <c r="J45" s="175"/>
      <c r="K45" s="175"/>
      <c r="L45" s="175">
        <v>0</v>
      </c>
      <c r="M45" s="175"/>
      <c r="N45" s="175"/>
      <c r="O45" s="175"/>
      <c r="P45" s="175"/>
      <c r="Q45" s="175"/>
      <c r="R45" s="175"/>
      <c r="S45" s="175"/>
      <c r="T45" s="175">
        <v>0</v>
      </c>
      <c r="U45" s="175"/>
      <c r="V45" s="176">
        <v>0</v>
      </c>
      <c r="W45" s="175"/>
      <c r="X45" s="175"/>
      <c r="Y45" s="175">
        <v>0</v>
      </c>
      <c r="Z45" s="175">
        <v>0</v>
      </c>
      <c r="AA45" s="172">
        <v>0</v>
      </c>
      <c r="AB45" s="169">
        <f t="shared" si="74"/>
        <v>0</v>
      </c>
      <c r="AC45" s="147"/>
      <c r="AD45" s="148"/>
      <c r="AE45" s="147"/>
    </row>
    <row r="46" spans="1:31" x14ac:dyDescent="0.2">
      <c r="A46" s="174" t="s">
        <v>260</v>
      </c>
      <c r="B46" s="168" t="s">
        <v>261</v>
      </c>
      <c r="C46" s="175"/>
      <c r="D46" s="175"/>
      <c r="E46" s="175"/>
      <c r="F46" s="175"/>
      <c r="G46" s="175"/>
      <c r="H46" s="175"/>
      <c r="I46" s="169"/>
      <c r="J46" s="175"/>
      <c r="K46" s="175"/>
      <c r="L46" s="175">
        <v>0</v>
      </c>
      <c r="M46" s="175"/>
      <c r="N46" s="175"/>
      <c r="O46" s="175"/>
      <c r="P46" s="175"/>
      <c r="Q46" s="175"/>
      <c r="R46" s="175"/>
      <c r="S46" s="175"/>
      <c r="T46" s="175">
        <v>0</v>
      </c>
      <c r="U46" s="175"/>
      <c r="V46" s="176">
        <v>0</v>
      </c>
      <c r="W46" s="175"/>
      <c r="X46" s="175"/>
      <c r="Y46" s="175">
        <v>0</v>
      </c>
      <c r="Z46" s="175">
        <v>0</v>
      </c>
      <c r="AA46" s="173">
        <v>0</v>
      </c>
      <c r="AB46" s="169">
        <f t="shared" si="74"/>
        <v>0</v>
      </c>
      <c r="AC46" s="147"/>
      <c r="AD46" s="148"/>
      <c r="AE46" s="147"/>
    </row>
    <row r="47" spans="1:31" x14ac:dyDescent="0.2">
      <c r="A47" s="156">
        <v>73</v>
      </c>
      <c r="B47" s="157" t="s">
        <v>262</v>
      </c>
      <c r="C47" s="158">
        <f>SUM(C48:C49)</f>
        <v>1079606.6100000001</v>
      </c>
      <c r="D47" s="158">
        <f>SUM(D48:D49)</f>
        <v>29280677.98</v>
      </c>
      <c r="E47" s="158">
        <f>SUM(E48:E49)</f>
        <v>2337667.02</v>
      </c>
      <c r="F47" s="158">
        <f t="shared" ref="F47:AB47" si="79">SUM(F48:F49)</f>
        <v>7054521.7300000004</v>
      </c>
      <c r="G47" s="158">
        <f>SUM(G48:G49)</f>
        <v>16507761.02</v>
      </c>
      <c r="H47" s="158">
        <f t="shared" ref="H47:J47" si="80">SUM(H48:H49)</f>
        <v>702662.9</v>
      </c>
      <c r="I47" s="159">
        <f>SUM(I48:I49)</f>
        <v>310225.55</v>
      </c>
      <c r="J47" s="158">
        <f t="shared" si="80"/>
        <v>997246.52</v>
      </c>
      <c r="K47" s="158">
        <f>SUM(K48:K49)</f>
        <v>608771.30000000005</v>
      </c>
      <c r="L47" s="158">
        <f>SUM(L48:L49)</f>
        <v>2173648.79</v>
      </c>
      <c r="M47" s="158">
        <f>SUM(M48:M49)</f>
        <v>2810892.91</v>
      </c>
      <c r="N47" s="158">
        <f>SUM(N48:N49)</f>
        <v>3007271</v>
      </c>
      <c r="O47" s="158">
        <f t="shared" si="79"/>
        <v>9865998.8800000008</v>
      </c>
      <c r="P47" s="158">
        <f>SUM(P48:P49)</f>
        <v>1862970.52</v>
      </c>
      <c r="Q47" s="158">
        <f t="shared" si="79"/>
        <v>1477462.69</v>
      </c>
      <c r="R47" s="158">
        <f>SUM(R48:R49)</f>
        <v>2505030.5100000002</v>
      </c>
      <c r="S47" s="158">
        <f>SUM(S48:S49)</f>
        <v>9116795.629999999</v>
      </c>
      <c r="T47" s="158">
        <f>SUM(T48:T49)</f>
        <v>30828856.859999999</v>
      </c>
      <c r="U47" s="158">
        <f>SUM(U48:U49)</f>
        <v>767630.14</v>
      </c>
      <c r="V47" s="160">
        <f>SUM(V48:V49)</f>
        <v>10100367.880000001</v>
      </c>
      <c r="W47" s="158">
        <f t="shared" si="79"/>
        <v>1962020.46</v>
      </c>
      <c r="X47" s="158">
        <f>SUM(X48:X49)</f>
        <v>743937.88</v>
      </c>
      <c r="Y47" s="161">
        <f>SUM(Y48:Y49)</f>
        <v>2586033.73</v>
      </c>
      <c r="Z47" s="161">
        <f t="shared" ref="Z47:AA47" si="81">SUM(Z48:Z49)</f>
        <v>763413.87</v>
      </c>
      <c r="AA47" s="161">
        <f t="shared" si="81"/>
        <v>2401512.19</v>
      </c>
      <c r="AB47" s="158">
        <f t="shared" si="79"/>
        <v>141852984.56999996</v>
      </c>
      <c r="AC47" s="147"/>
      <c r="AD47" s="148"/>
      <c r="AE47" s="147"/>
    </row>
    <row r="48" spans="1:31" x14ac:dyDescent="0.2">
      <c r="A48" s="174">
        <v>731</v>
      </c>
      <c r="B48" s="168" t="s">
        <v>263</v>
      </c>
      <c r="C48" s="175">
        <v>112348.3</v>
      </c>
      <c r="D48" s="175"/>
      <c r="E48" s="175">
        <v>4813.92</v>
      </c>
      <c r="F48" s="175"/>
      <c r="G48" s="175">
        <v>10810.48</v>
      </c>
      <c r="H48" s="175"/>
      <c r="I48" s="169"/>
      <c r="J48" s="175"/>
      <c r="K48" s="175"/>
      <c r="L48" s="175">
        <v>0</v>
      </c>
      <c r="M48" s="175">
        <v>23165.97</v>
      </c>
      <c r="N48" s="175">
        <v>191.41</v>
      </c>
      <c r="O48" s="175"/>
      <c r="P48" s="175">
        <v>64800</v>
      </c>
      <c r="Q48" s="175"/>
      <c r="R48" s="175">
        <v>2660.77</v>
      </c>
      <c r="S48" s="175">
        <v>9399.7000000000007</v>
      </c>
      <c r="T48" s="175">
        <v>20248.03</v>
      </c>
      <c r="U48" s="175"/>
      <c r="V48" s="176">
        <v>8895.65</v>
      </c>
      <c r="W48" s="175"/>
      <c r="X48" s="175"/>
      <c r="Y48" s="175">
        <v>0</v>
      </c>
      <c r="Z48" s="175">
        <v>0</v>
      </c>
      <c r="AA48" s="171">
        <v>0</v>
      </c>
      <c r="AB48" s="169">
        <f t="shared" si="74"/>
        <v>257334.22999999998</v>
      </c>
      <c r="AC48" s="147"/>
      <c r="AD48" s="148"/>
      <c r="AE48" s="147"/>
    </row>
    <row r="49" spans="1:31" x14ac:dyDescent="0.2">
      <c r="A49" s="174" t="s">
        <v>264</v>
      </c>
      <c r="B49" s="168" t="s">
        <v>265</v>
      </c>
      <c r="C49" s="169">
        <v>967258.31</v>
      </c>
      <c r="D49" s="169">
        <v>29280677.98</v>
      </c>
      <c r="E49" s="169">
        <v>2332853.1</v>
      </c>
      <c r="F49" s="169">
        <v>7054521.7300000004</v>
      </c>
      <c r="G49" s="169">
        <v>16496950.539999999</v>
      </c>
      <c r="H49" s="169">
        <v>702662.9</v>
      </c>
      <c r="I49" s="169">
        <v>310225.55</v>
      </c>
      <c r="J49" s="169">
        <v>997246.52</v>
      </c>
      <c r="K49" s="169">
        <v>608771.30000000005</v>
      </c>
      <c r="L49" s="169">
        <v>2173648.79</v>
      </c>
      <c r="M49" s="169">
        <v>2787726.94</v>
      </c>
      <c r="N49" s="169">
        <v>3007079.59</v>
      </c>
      <c r="O49" s="169">
        <v>9865998.8800000008</v>
      </c>
      <c r="P49" s="169">
        <v>1798170.52</v>
      </c>
      <c r="Q49" s="169">
        <v>1477462.69</v>
      </c>
      <c r="R49" s="169">
        <v>2502369.7400000002</v>
      </c>
      <c r="S49" s="169">
        <v>9107395.9299999997</v>
      </c>
      <c r="T49" s="169">
        <v>30808608.829999998</v>
      </c>
      <c r="U49" s="169">
        <v>767630.14</v>
      </c>
      <c r="V49" s="178">
        <v>10091472.23</v>
      </c>
      <c r="W49" s="169">
        <v>1962020.46</v>
      </c>
      <c r="X49" s="169">
        <v>743937.88</v>
      </c>
      <c r="Y49" s="169">
        <v>2586033.73</v>
      </c>
      <c r="Z49" s="169">
        <v>763413.87</v>
      </c>
      <c r="AA49" s="172">
        <v>2401512.19</v>
      </c>
      <c r="AB49" s="169">
        <f t="shared" si="74"/>
        <v>141595650.33999997</v>
      </c>
      <c r="AC49" s="147"/>
      <c r="AD49" s="148"/>
      <c r="AE49" s="147"/>
    </row>
    <row r="50" spans="1:31" x14ac:dyDescent="0.2">
      <c r="A50" s="156">
        <v>74</v>
      </c>
      <c r="B50" s="157" t="s">
        <v>266</v>
      </c>
      <c r="C50" s="158">
        <f t="shared" ref="C50" si="82">C51+C54</f>
        <v>3004091.8000000003</v>
      </c>
      <c r="D50" s="158">
        <f t="shared" ref="D50:E50" si="83">D51+D54</f>
        <v>5533704.5999999996</v>
      </c>
      <c r="E50" s="158">
        <f t="shared" si="83"/>
        <v>7177231.4199999999</v>
      </c>
      <c r="F50" s="158">
        <f t="shared" ref="F50:AB50" si="84">F51+F54</f>
        <v>9372545.5600000005</v>
      </c>
      <c r="G50" s="158">
        <f t="shared" si="84"/>
        <v>54</v>
      </c>
      <c r="H50" s="158">
        <f t="shared" si="84"/>
        <v>6657057.0899999999</v>
      </c>
      <c r="I50" s="159">
        <f t="shared" si="84"/>
        <v>3723253.73</v>
      </c>
      <c r="J50" s="158">
        <f t="shared" si="84"/>
        <v>2323729.8899999997</v>
      </c>
      <c r="K50" s="158">
        <f t="shared" si="84"/>
        <v>256038.68</v>
      </c>
      <c r="L50" s="158">
        <f>L51+L54</f>
        <v>3689972.74</v>
      </c>
      <c r="M50" s="158">
        <f t="shared" si="84"/>
        <v>134296.56</v>
      </c>
      <c r="N50" s="158">
        <f t="shared" si="84"/>
        <v>3244668.16</v>
      </c>
      <c r="O50" s="158">
        <f t="shared" si="84"/>
        <v>9036702.0999999996</v>
      </c>
      <c r="P50" s="158">
        <f t="shared" si="84"/>
        <v>3100086.79</v>
      </c>
      <c r="Q50" s="158">
        <f t="shared" si="84"/>
        <v>4064965.9499999997</v>
      </c>
      <c r="R50" s="158">
        <f t="shared" si="84"/>
        <v>3271651.54</v>
      </c>
      <c r="S50" s="158">
        <f>S51+S54</f>
        <v>6554859.2399999993</v>
      </c>
      <c r="T50" s="158">
        <f t="shared" ref="T50:V50" si="85">T51+T54</f>
        <v>3931331.88</v>
      </c>
      <c r="U50" s="158">
        <f t="shared" si="85"/>
        <v>7579768.6899999995</v>
      </c>
      <c r="V50" s="160">
        <f t="shared" si="85"/>
        <v>438310.63</v>
      </c>
      <c r="W50" s="158">
        <f t="shared" si="84"/>
        <v>4519110.3499999996</v>
      </c>
      <c r="X50" s="158">
        <f t="shared" si="84"/>
        <v>2626366.31</v>
      </c>
      <c r="Y50" s="161">
        <f>Y51+Y54</f>
        <v>2531356.4499999997</v>
      </c>
      <c r="Z50" s="161">
        <f t="shared" ref="Z50:AA50" si="86">Z51+Z54</f>
        <v>5132705.8500000006</v>
      </c>
      <c r="AA50" s="161">
        <f t="shared" si="86"/>
        <v>4198790.18</v>
      </c>
      <c r="AB50" s="158">
        <f t="shared" si="84"/>
        <v>102102650.19000001</v>
      </c>
      <c r="AC50" s="147"/>
      <c r="AD50" s="268"/>
      <c r="AE50" s="147"/>
    </row>
    <row r="51" spans="1:31" x14ac:dyDescent="0.2">
      <c r="A51" s="162" t="s">
        <v>267</v>
      </c>
      <c r="B51" s="163" t="s">
        <v>268</v>
      </c>
      <c r="C51" s="164">
        <f t="shared" ref="C51" si="87">SUM(C52:C53)</f>
        <v>72180.31</v>
      </c>
      <c r="D51" s="164">
        <f t="shared" ref="D51" si="88">SUM(D52:D53)</f>
        <v>347579.98</v>
      </c>
      <c r="E51" s="164">
        <f t="shared" ref="E51" si="89">SUM(E52:E53)</f>
        <v>200466.47999999998</v>
      </c>
      <c r="F51" s="164">
        <f t="shared" ref="F51:W51" si="90">SUM(F52:F53)</f>
        <v>481917.61000000004</v>
      </c>
      <c r="G51" s="164">
        <f t="shared" ref="G51" si="91">SUM(G52:G53)</f>
        <v>54</v>
      </c>
      <c r="H51" s="164">
        <f t="shared" si="90"/>
        <v>381057.09</v>
      </c>
      <c r="I51" s="165">
        <f t="shared" ref="I51" si="92">SUM(I52:I53)</f>
        <v>189214.38</v>
      </c>
      <c r="J51" s="164">
        <f t="shared" si="90"/>
        <v>0</v>
      </c>
      <c r="K51" s="164">
        <f t="shared" si="90"/>
        <v>256038.68</v>
      </c>
      <c r="L51" s="164">
        <f>SUM(L52:L53)</f>
        <v>397433.34</v>
      </c>
      <c r="M51" s="164">
        <f t="shared" ref="M51:N51" si="93">SUM(M52:M53)</f>
        <v>115296.56</v>
      </c>
      <c r="N51" s="164">
        <f t="shared" si="93"/>
        <v>328458.46000000002</v>
      </c>
      <c r="O51" s="164">
        <f t="shared" si="90"/>
        <v>191980.74</v>
      </c>
      <c r="P51" s="164">
        <f>SUM(P52:P53)</f>
        <v>39950</v>
      </c>
      <c r="Q51" s="164">
        <f t="shared" si="90"/>
        <v>44241.23</v>
      </c>
      <c r="R51" s="164">
        <f t="shared" si="90"/>
        <v>839137.34000000008</v>
      </c>
      <c r="S51" s="164">
        <f>SUM(S52:S53)</f>
        <v>59206.81</v>
      </c>
      <c r="T51" s="164">
        <f t="shared" ref="T51" si="94">SUM(T52:T53)</f>
        <v>3931331.88</v>
      </c>
      <c r="U51" s="164">
        <f t="shared" ref="U51" si="95">SUM(U52:U53)</f>
        <v>0</v>
      </c>
      <c r="V51" s="166">
        <f t="shared" ref="V51" si="96">SUM(V52:V53)</f>
        <v>428310.63</v>
      </c>
      <c r="W51" s="164">
        <f t="shared" si="90"/>
        <v>334463.95</v>
      </c>
      <c r="X51" s="164">
        <f t="shared" ref="X51" si="97">SUM(X52:X53)</f>
        <v>50000</v>
      </c>
      <c r="Y51" s="164">
        <f>Y52+Y53</f>
        <v>89762.51</v>
      </c>
      <c r="Z51" s="164">
        <f t="shared" ref="Z51:AA51" si="98">Z52+Z53</f>
        <v>625931.78</v>
      </c>
      <c r="AA51" s="164">
        <f t="shared" si="98"/>
        <v>381469.61</v>
      </c>
      <c r="AB51" s="164">
        <f t="shared" ref="AB51" si="99">SUM(AB52:AB53)</f>
        <v>9785483.3699999992</v>
      </c>
      <c r="AC51" s="147"/>
      <c r="AD51" s="148"/>
      <c r="AE51" s="147"/>
    </row>
    <row r="52" spans="1:31" x14ac:dyDescent="0.2">
      <c r="A52" s="174" t="s">
        <v>269</v>
      </c>
      <c r="B52" s="168" t="s">
        <v>270</v>
      </c>
      <c r="C52" s="169">
        <v>72180.31</v>
      </c>
      <c r="D52" s="169">
        <v>235821.05</v>
      </c>
      <c r="E52" s="169">
        <v>83600</v>
      </c>
      <c r="F52" s="169">
        <v>295917.61000000004</v>
      </c>
      <c r="G52" s="169">
        <v>54</v>
      </c>
      <c r="H52" s="169">
        <v>381057.09</v>
      </c>
      <c r="I52" s="169">
        <v>69527.19</v>
      </c>
      <c r="J52" s="169"/>
      <c r="K52" s="169">
        <v>256038.68</v>
      </c>
      <c r="L52" s="169">
        <v>107000</v>
      </c>
      <c r="M52" s="169">
        <v>115296.56</v>
      </c>
      <c r="N52" s="169">
        <v>8400</v>
      </c>
      <c r="O52" s="169">
        <v>48235</v>
      </c>
      <c r="P52" s="169">
        <v>39950</v>
      </c>
      <c r="Q52" s="169">
        <v>44241.23</v>
      </c>
      <c r="R52" s="169">
        <v>39500</v>
      </c>
      <c r="S52" s="169">
        <v>31488.66</v>
      </c>
      <c r="T52" s="169">
        <v>477810.26</v>
      </c>
      <c r="U52" s="169"/>
      <c r="V52" s="178">
        <v>0</v>
      </c>
      <c r="W52" s="169">
        <v>67000</v>
      </c>
      <c r="X52" s="169">
        <v>50000</v>
      </c>
      <c r="Y52" s="169">
        <v>0</v>
      </c>
      <c r="Z52" s="169">
        <v>625931.78</v>
      </c>
      <c r="AA52" s="171">
        <v>108842.56</v>
      </c>
      <c r="AB52" s="169">
        <f t="shared" ref="AB52:AB58" si="100">SUM(C52:AA52)</f>
        <v>3157891.98</v>
      </c>
      <c r="AC52" s="147"/>
      <c r="AD52" s="148"/>
      <c r="AE52" s="147"/>
    </row>
    <row r="53" spans="1:31" x14ac:dyDescent="0.2">
      <c r="A53" s="174" t="s">
        <v>271</v>
      </c>
      <c r="B53" s="168" t="s">
        <v>272</v>
      </c>
      <c r="C53" s="175"/>
      <c r="D53" s="175">
        <v>111758.93</v>
      </c>
      <c r="E53" s="175">
        <v>116866.48</v>
      </c>
      <c r="F53" s="175">
        <v>186000</v>
      </c>
      <c r="G53" s="175"/>
      <c r="H53" s="175"/>
      <c r="I53" s="169">
        <v>119687.19</v>
      </c>
      <c r="J53" s="175"/>
      <c r="K53" s="175"/>
      <c r="L53" s="175">
        <v>290433.34000000003</v>
      </c>
      <c r="M53" s="175"/>
      <c r="N53" s="175">
        <v>320058.46000000002</v>
      </c>
      <c r="O53" s="175">
        <v>143745.74</v>
      </c>
      <c r="P53" s="175">
        <v>0</v>
      </c>
      <c r="Q53" s="175"/>
      <c r="R53" s="175">
        <v>799637.34000000008</v>
      </c>
      <c r="S53" s="175">
        <v>27718.15</v>
      </c>
      <c r="T53" s="175">
        <v>3453521.62</v>
      </c>
      <c r="U53" s="175"/>
      <c r="V53" s="170">
        <v>428310.63</v>
      </c>
      <c r="W53" s="175">
        <v>267463.95</v>
      </c>
      <c r="X53" s="175"/>
      <c r="Y53" s="169">
        <v>89762.51</v>
      </c>
      <c r="Z53" s="169">
        <v>0</v>
      </c>
      <c r="AA53" s="172">
        <v>272627.05</v>
      </c>
      <c r="AB53" s="169">
        <f t="shared" si="100"/>
        <v>6627591.3899999997</v>
      </c>
      <c r="AC53" s="147"/>
      <c r="AD53" s="148"/>
      <c r="AE53" s="147"/>
    </row>
    <row r="54" spans="1:31" x14ac:dyDescent="0.2">
      <c r="A54" s="162">
        <v>742</v>
      </c>
      <c r="B54" s="163" t="s">
        <v>273</v>
      </c>
      <c r="C54" s="164">
        <f>SUM(C55:C58)</f>
        <v>2931911.49</v>
      </c>
      <c r="D54" s="164">
        <f>SUM(D55:D58)</f>
        <v>5186124.62</v>
      </c>
      <c r="E54" s="164">
        <f>SUM(E55:E58)</f>
        <v>6976764.9399999995</v>
      </c>
      <c r="F54" s="164">
        <f t="shared" ref="F54:W54" si="101">SUM(F55:F58)</f>
        <v>8890627.9500000011</v>
      </c>
      <c r="G54" s="164">
        <f>SUM(G55:G58)</f>
        <v>0</v>
      </c>
      <c r="H54" s="164">
        <f t="shared" si="101"/>
        <v>6276000</v>
      </c>
      <c r="I54" s="165">
        <f>SUM(I55:I58)</f>
        <v>3534039.35</v>
      </c>
      <c r="J54" s="164">
        <f t="shared" si="101"/>
        <v>2323729.8899999997</v>
      </c>
      <c r="K54" s="164">
        <f>SUM(K55:K58)</f>
        <v>0</v>
      </c>
      <c r="L54" s="164">
        <f>SUM(L55:L58)</f>
        <v>3292539.4000000004</v>
      </c>
      <c r="M54" s="164">
        <f>SUM(M55:M58)</f>
        <v>19000</v>
      </c>
      <c r="N54" s="164">
        <f>+N55+N56+N57+N58</f>
        <v>2916209.7</v>
      </c>
      <c r="O54" s="164">
        <f t="shared" si="101"/>
        <v>8844721.3599999994</v>
      </c>
      <c r="P54" s="164">
        <f>SUM(P55:P58)</f>
        <v>3060136.79</v>
      </c>
      <c r="Q54" s="164">
        <f t="shared" si="101"/>
        <v>4020724.7199999997</v>
      </c>
      <c r="R54" s="164">
        <f>SUM(R55:R58)</f>
        <v>2432514.2000000002</v>
      </c>
      <c r="S54" s="164">
        <f>SUM(S55:S58)</f>
        <v>6495652.4299999997</v>
      </c>
      <c r="T54" s="164">
        <f>SUM(T55:T58)</f>
        <v>0</v>
      </c>
      <c r="U54" s="164">
        <f>SUM(U55:U58)</f>
        <v>7579768.6899999995</v>
      </c>
      <c r="V54" s="166">
        <f>SUM(V55:V58)</f>
        <v>10000</v>
      </c>
      <c r="W54" s="164">
        <f t="shared" si="101"/>
        <v>4184646.4</v>
      </c>
      <c r="X54" s="164">
        <f>SUM(X55:X58)</f>
        <v>2576366.31</v>
      </c>
      <c r="Y54" s="164">
        <f>SUM(Y55:Y58)</f>
        <v>2441593.94</v>
      </c>
      <c r="Z54" s="164">
        <f t="shared" ref="Z54:AA54" si="102">SUM(Z55:Z58)</f>
        <v>4506774.07</v>
      </c>
      <c r="AA54" s="164">
        <f t="shared" si="102"/>
        <v>3817320.57</v>
      </c>
      <c r="AB54" s="164">
        <f t="shared" ref="AB54" si="103">SUM(AB55:AB58)</f>
        <v>92317166.820000008</v>
      </c>
      <c r="AC54" s="147"/>
      <c r="AD54" s="148"/>
      <c r="AE54" s="147"/>
    </row>
    <row r="55" spans="1:31" x14ac:dyDescent="0.2">
      <c r="A55" s="167">
        <v>7425</v>
      </c>
      <c r="B55" s="182" t="s">
        <v>445</v>
      </c>
      <c r="C55" s="169">
        <v>40993.81</v>
      </c>
      <c r="D55" s="169"/>
      <c r="E55" s="169">
        <v>94091.81</v>
      </c>
      <c r="F55" s="169"/>
      <c r="G55" s="169"/>
      <c r="H55" s="169"/>
      <c r="I55" s="169"/>
      <c r="J55" s="169"/>
      <c r="K55" s="169"/>
      <c r="L55" s="169">
        <v>0</v>
      </c>
      <c r="M55" s="169"/>
      <c r="N55" s="169">
        <v>45702.44</v>
      </c>
      <c r="O55" s="169"/>
      <c r="P55" s="169">
        <v>12836.17</v>
      </c>
      <c r="Q55" s="169"/>
      <c r="R55" s="169"/>
      <c r="S55" s="169">
        <v>0</v>
      </c>
      <c r="T55" s="169">
        <v>0</v>
      </c>
      <c r="U55" s="169">
        <v>0</v>
      </c>
      <c r="V55" s="170">
        <v>0</v>
      </c>
      <c r="W55" s="169"/>
      <c r="X55" s="183"/>
      <c r="Y55" s="169">
        <v>412.38</v>
      </c>
      <c r="Z55" s="169">
        <v>31064.2</v>
      </c>
      <c r="AA55" s="171">
        <v>0</v>
      </c>
      <c r="AB55" s="169">
        <f t="shared" si="100"/>
        <v>225100.81000000003</v>
      </c>
      <c r="AC55" s="147"/>
      <c r="AD55" s="148"/>
      <c r="AE55" s="147"/>
    </row>
    <row r="56" spans="1:31" x14ac:dyDescent="0.2">
      <c r="A56" s="174" t="s">
        <v>274</v>
      </c>
      <c r="B56" s="168" t="s">
        <v>441</v>
      </c>
      <c r="C56" s="169">
        <v>286700</v>
      </c>
      <c r="D56" s="169">
        <v>95000</v>
      </c>
      <c r="E56" s="169">
        <v>177468.39999999991</v>
      </c>
      <c r="F56" s="169"/>
      <c r="G56" s="169"/>
      <c r="H56" s="169">
        <v>6276000</v>
      </c>
      <c r="I56" s="169">
        <v>312755.75</v>
      </c>
      <c r="J56" s="169">
        <v>31290.580374999903</v>
      </c>
      <c r="K56" s="169"/>
      <c r="L56" s="169">
        <v>0</v>
      </c>
      <c r="M56" s="169">
        <v>19000</v>
      </c>
      <c r="N56" s="169"/>
      <c r="O56" s="169">
        <v>643418.4</v>
      </c>
      <c r="P56" s="169">
        <v>360249.36</v>
      </c>
      <c r="Q56" s="169">
        <v>138440</v>
      </c>
      <c r="R56" s="169"/>
      <c r="S56" s="169">
        <v>532928</v>
      </c>
      <c r="T56" s="169">
        <v>0</v>
      </c>
      <c r="U56" s="169">
        <v>234440.6</v>
      </c>
      <c r="V56" s="178">
        <v>10000</v>
      </c>
      <c r="W56" s="169">
        <v>124600</v>
      </c>
      <c r="X56" s="169">
        <v>152989.4</v>
      </c>
      <c r="Y56" s="169">
        <v>50000</v>
      </c>
      <c r="Z56" s="169">
        <v>154732.72</v>
      </c>
      <c r="AA56" s="172">
        <v>0</v>
      </c>
      <c r="AB56" s="169">
        <f t="shared" si="100"/>
        <v>9600013.2103750017</v>
      </c>
      <c r="AC56" s="147"/>
      <c r="AD56" s="148"/>
      <c r="AE56" s="147"/>
    </row>
    <row r="57" spans="1:31" x14ac:dyDescent="0.2">
      <c r="A57" s="174" t="s">
        <v>275</v>
      </c>
      <c r="B57" s="168" t="s">
        <v>276</v>
      </c>
      <c r="C57" s="169">
        <v>1485936.81</v>
      </c>
      <c r="D57" s="169">
        <v>5091124.62</v>
      </c>
      <c r="E57" s="169">
        <v>4587317.67</v>
      </c>
      <c r="F57" s="169">
        <v>6172520.7500000009</v>
      </c>
      <c r="G57" s="169"/>
      <c r="H57" s="169"/>
      <c r="I57" s="169">
        <v>3221283.6</v>
      </c>
      <c r="J57" s="169">
        <v>1094281.22</v>
      </c>
      <c r="K57" s="169"/>
      <c r="L57" s="169">
        <v>2053301.59</v>
      </c>
      <c r="M57" s="169"/>
      <c r="N57" s="169">
        <v>1631269.45</v>
      </c>
      <c r="O57" s="169">
        <v>8201302.96</v>
      </c>
      <c r="P57" s="169">
        <v>1288059.06</v>
      </c>
      <c r="Q57" s="169">
        <v>2483292.52</v>
      </c>
      <c r="R57" s="169">
        <v>1391828.32</v>
      </c>
      <c r="S57" s="169">
        <v>3924714.58</v>
      </c>
      <c r="T57" s="169">
        <v>0</v>
      </c>
      <c r="U57" s="169">
        <v>5346115.74</v>
      </c>
      <c r="V57" s="178">
        <v>0</v>
      </c>
      <c r="W57" s="169">
        <v>4060046.4</v>
      </c>
      <c r="X57" s="169">
        <v>1365504.84</v>
      </c>
      <c r="Y57" s="169">
        <v>1272900.69</v>
      </c>
      <c r="Z57" s="169">
        <v>2803310.25</v>
      </c>
      <c r="AA57" s="173">
        <v>2178696.7199999997</v>
      </c>
      <c r="AB57" s="169">
        <f t="shared" si="100"/>
        <v>59652807.790000007</v>
      </c>
      <c r="AC57" s="147"/>
      <c r="AD57" s="148"/>
      <c r="AE57" s="147"/>
    </row>
    <row r="58" spans="1:31" x14ac:dyDescent="0.2">
      <c r="A58" s="174">
        <v>7427</v>
      </c>
      <c r="B58" s="168" t="s">
        <v>440</v>
      </c>
      <c r="C58" s="169">
        <v>1118280.8700000001</v>
      </c>
      <c r="D58" s="169"/>
      <c r="E58" s="169">
        <v>2117887.06</v>
      </c>
      <c r="F58" s="169">
        <v>2718107.2</v>
      </c>
      <c r="G58" s="169"/>
      <c r="H58" s="169"/>
      <c r="I58" s="169"/>
      <c r="J58" s="169">
        <v>1198158.089625</v>
      </c>
      <c r="K58" s="169"/>
      <c r="L58" s="169">
        <v>1239237.81</v>
      </c>
      <c r="M58" s="169"/>
      <c r="N58" s="169">
        <v>1239237.81</v>
      </c>
      <c r="O58" s="169"/>
      <c r="P58" s="169">
        <v>1398992.2</v>
      </c>
      <c r="Q58" s="169">
        <v>1398992.2</v>
      </c>
      <c r="R58" s="169">
        <v>1040685.88</v>
      </c>
      <c r="S58" s="169">
        <v>2038009.85</v>
      </c>
      <c r="T58" s="169">
        <v>0</v>
      </c>
      <c r="U58" s="169">
        <v>1999212.35</v>
      </c>
      <c r="V58" s="178">
        <v>0</v>
      </c>
      <c r="W58" s="169"/>
      <c r="X58" s="169">
        <v>1057872.07</v>
      </c>
      <c r="Y58" s="169">
        <v>1118280.8700000001</v>
      </c>
      <c r="Z58" s="169">
        <v>1517666.9</v>
      </c>
      <c r="AA58" s="171">
        <v>1638623.85</v>
      </c>
      <c r="AB58" s="169">
        <f t="shared" si="100"/>
        <v>22839245.009625003</v>
      </c>
      <c r="AC58" s="147"/>
      <c r="AD58" s="148"/>
      <c r="AE58" s="147"/>
    </row>
    <row r="59" spans="1:31" x14ac:dyDescent="0.2">
      <c r="A59" s="156">
        <v>75</v>
      </c>
      <c r="B59" s="157" t="s">
        <v>169</v>
      </c>
      <c r="C59" s="158">
        <f>+C60</f>
        <v>0</v>
      </c>
      <c r="D59" s="158">
        <f>+D60</f>
        <v>192216.12</v>
      </c>
      <c r="E59" s="158">
        <f>+E60</f>
        <v>0</v>
      </c>
      <c r="F59" s="158">
        <f t="shared" ref="F59:AB59" si="104">+F60</f>
        <v>0</v>
      </c>
      <c r="G59" s="158">
        <f>+G60</f>
        <v>0</v>
      </c>
      <c r="H59" s="158">
        <f t="shared" si="104"/>
        <v>0</v>
      </c>
      <c r="I59" s="159">
        <f>+I60</f>
        <v>1230000</v>
      </c>
      <c r="J59" s="158">
        <f t="shared" ref="J59" si="105">+J60</f>
        <v>20603.18</v>
      </c>
      <c r="K59" s="158">
        <f>+K60</f>
        <v>570428.05000000005</v>
      </c>
      <c r="L59" s="158">
        <f>+L60</f>
        <v>0</v>
      </c>
      <c r="M59" s="158">
        <f>+M60</f>
        <v>0</v>
      </c>
      <c r="N59" s="158">
        <f>+N60</f>
        <v>0</v>
      </c>
      <c r="O59" s="158">
        <f t="shared" si="104"/>
        <v>20488</v>
      </c>
      <c r="P59" s="158">
        <f>+P60</f>
        <v>0</v>
      </c>
      <c r="Q59" s="158">
        <f t="shared" si="104"/>
        <v>380000</v>
      </c>
      <c r="R59" s="158">
        <f>+R60</f>
        <v>0</v>
      </c>
      <c r="S59" s="158">
        <f>+S60</f>
        <v>0</v>
      </c>
      <c r="T59" s="158">
        <f>+T60</f>
        <v>396400.11000000004</v>
      </c>
      <c r="U59" s="158">
        <f>+U60</f>
        <v>0</v>
      </c>
      <c r="V59" s="160">
        <f>+V60</f>
        <v>0</v>
      </c>
      <c r="W59" s="158">
        <f t="shared" si="104"/>
        <v>215843.31</v>
      </c>
      <c r="X59" s="158">
        <f>+X60</f>
        <v>0</v>
      </c>
      <c r="Y59" s="161">
        <f>+Y60</f>
        <v>0</v>
      </c>
      <c r="Z59" s="161">
        <f t="shared" ref="Z59:AA59" si="106">+Z60</f>
        <v>96195</v>
      </c>
      <c r="AA59" s="161">
        <f t="shared" si="106"/>
        <v>0</v>
      </c>
      <c r="AB59" s="158">
        <f t="shared" si="104"/>
        <v>3122173.77</v>
      </c>
      <c r="AC59" s="147"/>
      <c r="AD59" s="148"/>
      <c r="AE59" s="147"/>
    </row>
    <row r="60" spans="1:31" x14ac:dyDescent="0.2">
      <c r="A60" s="162" t="s">
        <v>277</v>
      </c>
      <c r="B60" s="163" t="s">
        <v>169</v>
      </c>
      <c r="C60" s="164">
        <f>+C61+C62</f>
        <v>0</v>
      </c>
      <c r="D60" s="164">
        <f>+D61+D62</f>
        <v>192216.12</v>
      </c>
      <c r="E60" s="164">
        <f>+E61+E62</f>
        <v>0</v>
      </c>
      <c r="F60" s="164">
        <f t="shared" ref="F60:AB60" si="107">+F61+F62</f>
        <v>0</v>
      </c>
      <c r="G60" s="164">
        <f>+G61+G62</f>
        <v>0</v>
      </c>
      <c r="H60" s="164">
        <f t="shared" ref="H60" si="108">+H61+H62</f>
        <v>0</v>
      </c>
      <c r="I60" s="165">
        <f>+I61+I62</f>
        <v>1230000</v>
      </c>
      <c r="J60" s="164">
        <f t="shared" ref="J60" si="109">+J61+J62</f>
        <v>20603.18</v>
      </c>
      <c r="K60" s="164">
        <f>+K61+K62</f>
        <v>570428.05000000005</v>
      </c>
      <c r="L60" s="164">
        <f>+L61+L62</f>
        <v>0</v>
      </c>
      <c r="M60" s="164">
        <f>+M61+M62</f>
        <v>0</v>
      </c>
      <c r="N60" s="164">
        <f>+N61+N62</f>
        <v>0</v>
      </c>
      <c r="O60" s="164">
        <f t="shared" si="107"/>
        <v>20488</v>
      </c>
      <c r="P60" s="164">
        <f>+P61+P62</f>
        <v>0</v>
      </c>
      <c r="Q60" s="164">
        <f t="shared" si="107"/>
        <v>380000</v>
      </c>
      <c r="R60" s="164">
        <f>+R61+R62</f>
        <v>0</v>
      </c>
      <c r="S60" s="164">
        <f>+S61+S62</f>
        <v>0</v>
      </c>
      <c r="T60" s="164">
        <f>+T61+T62</f>
        <v>396400.11000000004</v>
      </c>
      <c r="U60" s="164">
        <f>+U61+U62</f>
        <v>0</v>
      </c>
      <c r="V60" s="166">
        <f>+V61+V62</f>
        <v>0</v>
      </c>
      <c r="W60" s="164">
        <f t="shared" si="107"/>
        <v>215843.31</v>
      </c>
      <c r="X60" s="164">
        <f>+X61+X62</f>
        <v>0</v>
      </c>
      <c r="Y60" s="164">
        <f>+Y61+Y62</f>
        <v>0</v>
      </c>
      <c r="Z60" s="164">
        <f t="shared" ref="Z60:AA60" si="110">+Z61+Z62</f>
        <v>96195</v>
      </c>
      <c r="AA60" s="164">
        <f t="shared" si="110"/>
        <v>0</v>
      </c>
      <c r="AB60" s="164">
        <f t="shared" si="107"/>
        <v>3122173.77</v>
      </c>
      <c r="AC60" s="147"/>
      <c r="AD60" s="148"/>
      <c r="AE60" s="147"/>
    </row>
    <row r="61" spans="1:31" x14ac:dyDescent="0.2">
      <c r="A61" s="174" t="s">
        <v>278</v>
      </c>
      <c r="B61" s="168" t="s">
        <v>279</v>
      </c>
      <c r="C61" s="169"/>
      <c r="D61" s="169">
        <v>192216.12</v>
      </c>
      <c r="E61" s="169"/>
      <c r="F61" s="169"/>
      <c r="G61" s="169"/>
      <c r="H61" s="169"/>
      <c r="I61" s="169">
        <v>1230000</v>
      </c>
      <c r="J61" s="169">
        <v>20603.18</v>
      </c>
      <c r="K61" s="169">
        <v>570428.05000000005</v>
      </c>
      <c r="L61" s="169">
        <v>0</v>
      </c>
      <c r="M61" s="169"/>
      <c r="N61" s="169"/>
      <c r="O61" s="169">
        <v>20488</v>
      </c>
      <c r="P61" s="169"/>
      <c r="Q61" s="169">
        <v>380000</v>
      </c>
      <c r="R61" s="169"/>
      <c r="S61" s="169"/>
      <c r="T61" s="169">
        <v>24535.27</v>
      </c>
      <c r="U61" s="169">
        <v>0</v>
      </c>
      <c r="V61" s="178">
        <v>0</v>
      </c>
      <c r="W61" s="169">
        <v>126814.05</v>
      </c>
      <c r="X61" s="169"/>
      <c r="Y61" s="169"/>
      <c r="Z61" s="169">
        <v>96195</v>
      </c>
      <c r="AA61" s="173">
        <v>0</v>
      </c>
      <c r="AB61" s="169">
        <f t="shared" ref="AB61:AB62" si="111">SUM(C61:AA61)</f>
        <v>2661279.67</v>
      </c>
      <c r="AC61" s="147"/>
      <c r="AD61" s="148"/>
      <c r="AE61" s="147"/>
    </row>
    <row r="62" spans="1:31" x14ac:dyDescent="0.2">
      <c r="A62" s="174" t="s">
        <v>280</v>
      </c>
      <c r="B62" s="168" t="s">
        <v>281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>
        <v>0</v>
      </c>
      <c r="M62" s="184"/>
      <c r="N62" s="184"/>
      <c r="O62" s="184"/>
      <c r="P62" s="184"/>
      <c r="Q62" s="184"/>
      <c r="R62" s="184"/>
      <c r="S62" s="184"/>
      <c r="T62" s="184">
        <v>371864.84</v>
      </c>
      <c r="U62" s="184"/>
      <c r="V62" s="178">
        <v>0</v>
      </c>
      <c r="W62" s="184">
        <v>89029.26</v>
      </c>
      <c r="X62" s="184"/>
      <c r="Y62" s="184"/>
      <c r="Z62" s="184">
        <v>0</v>
      </c>
      <c r="AA62" s="173">
        <v>0</v>
      </c>
      <c r="AB62" s="169">
        <f t="shared" si="111"/>
        <v>460894.10000000003</v>
      </c>
      <c r="AC62" s="147"/>
      <c r="AD62" s="148"/>
      <c r="AE62" s="147"/>
    </row>
    <row r="63" spans="1:31" x14ac:dyDescent="0.2">
      <c r="A63" s="269" t="s">
        <v>282</v>
      </c>
      <c r="B63" s="270"/>
      <c r="C63" s="185">
        <f t="shared" ref="C63:Y63" si="112">C3+C40+C47+C50+C59</f>
        <v>5613363.2100000009</v>
      </c>
      <c r="D63" s="185">
        <f t="shared" si="112"/>
        <v>69947650.099999994</v>
      </c>
      <c r="E63" s="185">
        <f t="shared" si="112"/>
        <v>19471101.890000001</v>
      </c>
      <c r="F63" s="185">
        <f t="shared" si="112"/>
        <v>28871667.060000002</v>
      </c>
      <c r="G63" s="185">
        <f t="shared" si="112"/>
        <v>73293283.439999998</v>
      </c>
      <c r="H63" s="185">
        <f t="shared" si="112"/>
        <v>13967533.23</v>
      </c>
      <c r="I63" s="186">
        <f>I3+I40+I47+I50+I59</f>
        <v>10210482.08</v>
      </c>
      <c r="J63" s="185">
        <f t="shared" si="112"/>
        <v>3975320.9</v>
      </c>
      <c r="K63" s="185">
        <f t="shared" si="112"/>
        <v>31877246.57</v>
      </c>
      <c r="L63" s="185">
        <f t="shared" si="112"/>
        <v>10180003.27</v>
      </c>
      <c r="M63" s="185">
        <f t="shared" si="112"/>
        <v>34614293.340000004</v>
      </c>
      <c r="N63" s="185">
        <f t="shared" si="112"/>
        <v>8810684.0700000003</v>
      </c>
      <c r="O63" s="185">
        <f t="shared" si="112"/>
        <v>45038815.390000001</v>
      </c>
      <c r="P63" s="185">
        <f t="shared" si="112"/>
        <v>5487708.4100000001</v>
      </c>
      <c r="Q63" s="185">
        <f t="shared" si="112"/>
        <v>8217145.7799999993</v>
      </c>
      <c r="R63" s="185">
        <f t="shared" si="112"/>
        <v>10278967.620000001</v>
      </c>
      <c r="S63" s="185">
        <f t="shared" si="112"/>
        <v>33444586.900000002</v>
      </c>
      <c r="T63" s="185">
        <f t="shared" si="112"/>
        <v>156577997.10000002</v>
      </c>
      <c r="U63" s="185">
        <f>U3+U40+U47+U50+U59</f>
        <v>13374014.929999998</v>
      </c>
      <c r="V63" s="187">
        <f t="shared" si="112"/>
        <v>34350583.560000002</v>
      </c>
      <c r="W63" s="185">
        <f t="shared" si="112"/>
        <v>18166124.859999996</v>
      </c>
      <c r="X63" s="185">
        <f t="shared" si="112"/>
        <v>6445330.1600000001</v>
      </c>
      <c r="Y63" s="188">
        <f t="shared" si="112"/>
        <v>6129983.1199999992</v>
      </c>
      <c r="Z63" s="188">
        <f t="shared" ref="Z63:AA63" si="113">Z3+Z40+Z47+Z50+Z59</f>
        <v>9327736.6700000018</v>
      </c>
      <c r="AA63" s="188">
        <f t="shared" si="113"/>
        <v>11979690.77</v>
      </c>
      <c r="AB63" s="185">
        <f>AB3+AB40+AB47+AB50+AB59</f>
        <v>669651314.43000007</v>
      </c>
      <c r="AC63" s="147"/>
      <c r="AD63" s="148"/>
      <c r="AE63" s="147"/>
    </row>
    <row r="64" spans="1:31" x14ac:dyDescent="0.2">
      <c r="AD64" s="147"/>
    </row>
    <row r="65" spans="10:28" x14ac:dyDescent="0.2">
      <c r="J65" s="152"/>
    </row>
    <row r="66" spans="10:28" x14ac:dyDescent="0.2">
      <c r="J66" s="152"/>
      <c r="R66" s="153"/>
      <c r="AB66" s="147"/>
    </row>
    <row r="67" spans="10:28" x14ac:dyDescent="0.2">
      <c r="J67" s="152"/>
    </row>
    <row r="68" spans="10:28" x14ac:dyDescent="0.2">
      <c r="J68" s="152"/>
    </row>
    <row r="69" spans="10:28" x14ac:dyDescent="0.2">
      <c r="J69" s="152"/>
    </row>
    <row r="70" spans="10:28" x14ac:dyDescent="0.2">
      <c r="J70" s="152"/>
    </row>
    <row r="71" spans="10:28" x14ac:dyDescent="0.2">
      <c r="J71" s="152"/>
    </row>
    <row r="72" spans="10:28" x14ac:dyDescent="0.2">
      <c r="J72" s="152"/>
    </row>
    <row r="73" spans="10:28" x14ac:dyDescent="0.2">
      <c r="J73" s="152"/>
    </row>
    <row r="74" spans="10:28" x14ac:dyDescent="0.2">
      <c r="J74" s="152"/>
    </row>
    <row r="75" spans="10:28" x14ac:dyDescent="0.2">
      <c r="J75" s="152"/>
    </row>
    <row r="76" spans="10:28" x14ac:dyDescent="0.2">
      <c r="J76" s="152"/>
    </row>
    <row r="77" spans="10:28" x14ac:dyDescent="0.2">
      <c r="J77" s="152"/>
    </row>
    <row r="78" spans="10:28" x14ac:dyDescent="0.2">
      <c r="J78" s="152"/>
    </row>
    <row r="79" spans="10:28" x14ac:dyDescent="0.2">
      <c r="J79" s="152"/>
    </row>
    <row r="80" spans="10:28" x14ac:dyDescent="0.2">
      <c r="J80" s="152"/>
    </row>
    <row r="81" spans="10:10" x14ac:dyDescent="0.2">
      <c r="J81" s="152"/>
    </row>
    <row r="82" spans="10:10" x14ac:dyDescent="0.2">
      <c r="J82" s="152"/>
    </row>
    <row r="83" spans="10:10" x14ac:dyDescent="0.2">
      <c r="J83" s="152"/>
    </row>
    <row r="84" spans="10:10" x14ac:dyDescent="0.2">
      <c r="J84" s="152"/>
    </row>
    <row r="85" spans="10:10" x14ac:dyDescent="0.2">
      <c r="J85" s="152"/>
    </row>
    <row r="86" spans="10:10" x14ac:dyDescent="0.2">
      <c r="J86" s="152"/>
    </row>
    <row r="87" spans="10:10" x14ac:dyDescent="0.2">
      <c r="J87" s="152"/>
    </row>
    <row r="88" spans="10:10" x14ac:dyDescent="0.2">
      <c r="J88" s="152"/>
    </row>
    <row r="89" spans="10:10" x14ac:dyDescent="0.2">
      <c r="J89" s="152"/>
    </row>
    <row r="90" spans="10:10" x14ac:dyDescent="0.2">
      <c r="J90" s="152"/>
    </row>
    <row r="91" spans="10:10" x14ac:dyDescent="0.2">
      <c r="J91" s="152"/>
    </row>
    <row r="92" spans="10:10" x14ac:dyDescent="0.2">
      <c r="J92" s="152"/>
    </row>
    <row r="93" spans="10:10" x14ac:dyDescent="0.2">
      <c r="J93" s="152"/>
    </row>
    <row r="94" spans="10:10" x14ac:dyDescent="0.2">
      <c r="J94" s="152"/>
    </row>
    <row r="95" spans="10:10" x14ac:dyDescent="0.2">
      <c r="J95" s="152"/>
    </row>
    <row r="96" spans="10:10" x14ac:dyDescent="0.2">
      <c r="J96" s="152"/>
    </row>
    <row r="97" spans="10:10" x14ac:dyDescent="0.2">
      <c r="J97" s="152"/>
    </row>
    <row r="98" spans="10:10" x14ac:dyDescent="0.2">
      <c r="J98" s="152"/>
    </row>
    <row r="99" spans="10:10" x14ac:dyDescent="0.2">
      <c r="J99" s="152"/>
    </row>
    <row r="100" spans="10:10" x14ac:dyDescent="0.2">
      <c r="J100" s="152"/>
    </row>
    <row r="101" spans="10:10" x14ac:dyDescent="0.2">
      <c r="J101" s="152"/>
    </row>
    <row r="102" spans="10:10" x14ac:dyDescent="0.2">
      <c r="J102" s="152"/>
    </row>
    <row r="103" spans="10:10" x14ac:dyDescent="0.2">
      <c r="J103" s="152"/>
    </row>
    <row r="104" spans="10:10" x14ac:dyDescent="0.2">
      <c r="J104" s="152"/>
    </row>
    <row r="105" spans="10:10" x14ac:dyDescent="0.2">
      <c r="J105" s="152"/>
    </row>
    <row r="106" spans="10:10" x14ac:dyDescent="0.2">
      <c r="J106" s="152"/>
    </row>
    <row r="107" spans="10:10" x14ac:dyDescent="0.2">
      <c r="J107" s="152"/>
    </row>
    <row r="108" spans="10:10" x14ac:dyDescent="0.2">
      <c r="J108" s="152"/>
    </row>
    <row r="109" spans="10:10" x14ac:dyDescent="0.2">
      <c r="J109" s="152"/>
    </row>
    <row r="110" spans="10:10" x14ac:dyDescent="0.2">
      <c r="J110" s="152"/>
    </row>
    <row r="111" spans="10:10" x14ac:dyDescent="0.2">
      <c r="J111" s="152"/>
    </row>
    <row r="112" spans="10:10" x14ac:dyDescent="0.2">
      <c r="J112" s="152"/>
    </row>
    <row r="113" spans="10:10" x14ac:dyDescent="0.2">
      <c r="J113" s="152"/>
    </row>
    <row r="114" spans="10:10" x14ac:dyDescent="0.2">
      <c r="J114" s="152"/>
    </row>
    <row r="115" spans="10:10" x14ac:dyDescent="0.2">
      <c r="J115" s="152"/>
    </row>
    <row r="116" spans="10:10" x14ac:dyDescent="0.2">
      <c r="J116" s="152"/>
    </row>
    <row r="117" spans="10:10" x14ac:dyDescent="0.2">
      <c r="J117" s="152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14 AB9 I64:W64 A64:G64 X64:AA64" formula="1"/>
    <ignoredError sqref="A59:B62 A47:B54 A57:B57 A56 A55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C75" activePane="bottomRight" state="frozen"/>
      <selection pane="topRight" activeCell="C1" sqref="C1"/>
      <selection pane="bottomLeft" activeCell="A3" sqref="A3"/>
      <selection pane="bottomRight" activeCell="D14" sqref="D14"/>
    </sheetView>
  </sheetViews>
  <sheetFormatPr defaultRowHeight="14.25" x14ac:dyDescent="0.2"/>
  <cols>
    <col min="1" max="1" width="10.7109375" style="146" customWidth="1"/>
    <col min="2" max="2" width="69.28515625" style="146" bestFit="1" customWidth="1"/>
    <col min="3" max="3" width="15.7109375" style="150" customWidth="1"/>
    <col min="4" max="4" width="15.7109375" style="192" customWidth="1"/>
    <col min="5" max="12" width="15.7109375" style="193" customWidth="1"/>
    <col min="13" max="13" width="15.7109375" style="147" customWidth="1"/>
    <col min="14" max="14" width="15.7109375" style="193" customWidth="1"/>
    <col min="15" max="15" width="15.7109375" style="192" customWidth="1"/>
    <col min="16" max="19" width="15.7109375" style="193" customWidth="1"/>
    <col min="20" max="20" width="16.85546875" style="193" bestFit="1" customWidth="1"/>
    <col min="21" max="21" width="15.7109375" style="193" customWidth="1"/>
    <col min="22" max="22" width="15.7109375" style="192" customWidth="1"/>
    <col min="23" max="23" width="15.7109375" style="150" customWidth="1"/>
    <col min="24" max="27" width="15.7109375" style="193" customWidth="1"/>
    <col min="28" max="28" width="16.85546875" style="146" bestFit="1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">
      <c r="A1" s="274" t="s">
        <v>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6"/>
    </row>
    <row r="2" spans="1:31" x14ac:dyDescent="0.2">
      <c r="A2" s="196" t="s">
        <v>442</v>
      </c>
      <c r="B2" s="197" t="s">
        <v>1</v>
      </c>
      <c r="C2" s="197" t="s">
        <v>2</v>
      </c>
      <c r="D2" s="198" t="s">
        <v>3</v>
      </c>
      <c r="E2" s="197" t="s">
        <v>4</v>
      </c>
      <c r="F2" s="197" t="s">
        <v>5</v>
      </c>
      <c r="G2" s="197" t="s">
        <v>6</v>
      </c>
      <c r="H2" s="197" t="s">
        <v>22</v>
      </c>
      <c r="I2" s="197" t="s">
        <v>7</v>
      </c>
      <c r="J2" s="197" t="s">
        <v>8</v>
      </c>
      <c r="K2" s="197" t="s">
        <v>9</v>
      </c>
      <c r="L2" s="197" t="s">
        <v>10</v>
      </c>
      <c r="M2" s="198" t="s">
        <v>11</v>
      </c>
      <c r="N2" s="197" t="s">
        <v>12</v>
      </c>
      <c r="O2" s="198" t="s">
        <v>13</v>
      </c>
      <c r="P2" s="197" t="s">
        <v>14</v>
      </c>
      <c r="Q2" s="197" t="s">
        <v>15</v>
      </c>
      <c r="R2" s="197" t="s">
        <v>16</v>
      </c>
      <c r="S2" s="197" t="s">
        <v>17</v>
      </c>
      <c r="T2" s="197" t="s">
        <v>18</v>
      </c>
      <c r="U2" s="197" t="s">
        <v>19</v>
      </c>
      <c r="V2" s="198" t="s">
        <v>20</v>
      </c>
      <c r="W2" s="197" t="s">
        <v>21</v>
      </c>
      <c r="X2" s="197" t="s">
        <v>23</v>
      </c>
      <c r="Y2" s="197" t="s">
        <v>24</v>
      </c>
      <c r="Z2" s="197" t="s">
        <v>25</v>
      </c>
      <c r="AA2" s="227" t="s">
        <v>325</v>
      </c>
      <c r="AB2" s="235" t="s">
        <v>26</v>
      </c>
    </row>
    <row r="3" spans="1:31" x14ac:dyDescent="0.2">
      <c r="A3" s="199" t="s">
        <v>27</v>
      </c>
      <c r="B3" s="157" t="s">
        <v>28</v>
      </c>
      <c r="C3" s="200">
        <f>C4+C58+C59</f>
        <v>3143456.41</v>
      </c>
      <c r="D3" s="200">
        <f>D4+D58+D59</f>
        <v>18103038.634800002</v>
      </c>
      <c r="E3" s="200">
        <f>E4+E58+E59</f>
        <v>11009077.060000001</v>
      </c>
      <c r="F3" s="200">
        <f t="shared" ref="F3:W3" si="0">F4+F58+F59</f>
        <v>12914883.529999999</v>
      </c>
      <c r="G3" s="200">
        <f>G4+G58+G59</f>
        <v>33680704.75</v>
      </c>
      <c r="H3" s="200">
        <f t="shared" si="0"/>
        <v>9546414.9399999995</v>
      </c>
      <c r="I3" s="200">
        <f>I4+I58+I59</f>
        <v>5640497.8900000006</v>
      </c>
      <c r="J3" s="200">
        <f t="shared" si="0"/>
        <v>2474632.5100000002</v>
      </c>
      <c r="K3" s="200">
        <f>K4+K58+K59</f>
        <v>19115920.489999998</v>
      </c>
      <c r="L3" s="200">
        <f>L4+L58+L59</f>
        <v>4617624.6099999994</v>
      </c>
      <c r="M3" s="200">
        <f>M4+M58+M59</f>
        <v>19031106.390000001</v>
      </c>
      <c r="N3" s="200">
        <f>N4+N58+N59</f>
        <v>4152737.43</v>
      </c>
      <c r="O3" s="200">
        <f t="shared" si="0"/>
        <v>27157373.290000007</v>
      </c>
      <c r="P3" s="200">
        <f>P4+P58+P59</f>
        <v>1480177.11</v>
      </c>
      <c r="Q3" s="200">
        <f t="shared" si="0"/>
        <v>4006546.7199999997</v>
      </c>
      <c r="R3" s="200">
        <f>R4+R58+R59</f>
        <v>4611671.629999999</v>
      </c>
      <c r="S3" s="200">
        <f>S4+S58+S59</f>
        <v>16178636.020000001</v>
      </c>
      <c r="T3" s="200">
        <f>T4+T58+T59</f>
        <v>54799623.590000004</v>
      </c>
      <c r="U3" s="200">
        <f>U4+U58+U59</f>
        <v>7772496.2400000002</v>
      </c>
      <c r="V3" s="200">
        <f>V4+V58+V59</f>
        <v>12726677.74</v>
      </c>
      <c r="W3" s="200">
        <f t="shared" si="0"/>
        <v>10988652.83</v>
      </c>
      <c r="X3" s="200">
        <f>X4+X58+X59</f>
        <v>3294449.07</v>
      </c>
      <c r="Y3" s="201">
        <f>Y4+Y58+Y59</f>
        <v>2180408.0299999998</v>
      </c>
      <c r="Z3" s="202">
        <f>SUM(Z4+Z58+Z59)</f>
        <v>6170111.5199999996</v>
      </c>
      <c r="AA3" s="228">
        <f>SUM(AA4+AA58+AA59)</f>
        <v>5172980</v>
      </c>
      <c r="AB3" s="236">
        <f>AB4+AB58+AB59</f>
        <v>299969898.43480003</v>
      </c>
      <c r="AD3" s="147"/>
      <c r="AE3" s="147"/>
    </row>
    <row r="4" spans="1:31" x14ac:dyDescent="0.2">
      <c r="A4" s="203">
        <v>41</v>
      </c>
      <c r="B4" s="189" t="s">
        <v>28</v>
      </c>
      <c r="C4" s="204">
        <f t="shared" ref="C4" si="1">C5+C11+C19+C26+C36+C41+C44+C48+C49</f>
        <v>1620490.86</v>
      </c>
      <c r="D4" s="204">
        <f t="shared" ref="D4:E4" si="2">D5+D11+D19+D26+D36+D41+D44+D48+D49</f>
        <v>7897338.7148000002</v>
      </c>
      <c r="E4" s="204">
        <f t="shared" si="2"/>
        <v>4586358.25</v>
      </c>
      <c r="F4" s="204">
        <f t="shared" ref="F4:R4" si="3">F5+F11+F19+F26+F36+F41+F44+F48+F49</f>
        <v>5770870.3899999997</v>
      </c>
      <c r="G4" s="204">
        <f t="shared" si="3"/>
        <v>14867694.120000001</v>
      </c>
      <c r="H4" s="204">
        <f t="shared" si="3"/>
        <v>5609575.3300000001</v>
      </c>
      <c r="I4" s="204">
        <f t="shared" si="3"/>
        <v>4295215.2700000005</v>
      </c>
      <c r="J4" s="204">
        <f t="shared" si="3"/>
        <v>1457555.56</v>
      </c>
      <c r="K4" s="204">
        <f t="shared" si="3"/>
        <v>7752035.5599999996</v>
      </c>
      <c r="L4" s="204">
        <f t="shared" si="3"/>
        <v>3219149.29</v>
      </c>
      <c r="M4" s="204">
        <f t="shared" si="3"/>
        <v>9347545.8599999994</v>
      </c>
      <c r="N4" s="204">
        <f t="shared" si="3"/>
        <v>2733684.72</v>
      </c>
      <c r="O4" s="204">
        <f t="shared" si="3"/>
        <v>11794633.860000003</v>
      </c>
      <c r="P4" s="204">
        <f>P5+P11+P19+P26+P36+P41+P44+P48+P49</f>
        <v>906377.88</v>
      </c>
      <c r="Q4" s="204">
        <f t="shared" si="3"/>
        <v>2074999.6299999997</v>
      </c>
      <c r="R4" s="204">
        <f t="shared" si="3"/>
        <v>2278360.8099999996</v>
      </c>
      <c r="S4" s="204">
        <f>S5+S11+S19+S26+S36+S41+S44+S48+S49</f>
        <v>10545217.810000001</v>
      </c>
      <c r="T4" s="204">
        <f t="shared" ref="T4:U4" si="4">T5+T11+T19+T26+T36+T41+T44+T48+T49</f>
        <v>27396669.350000001</v>
      </c>
      <c r="U4" s="204">
        <f t="shared" si="4"/>
        <v>3581741.4800000004</v>
      </c>
      <c r="V4" s="204">
        <f>V5+V11+V19+V26+V36+V41+V44+V48+V49</f>
        <v>5683683.4800000004</v>
      </c>
      <c r="W4" s="204">
        <f t="shared" ref="W4:Y4" si="5">W5+W11+W19+W26+W36+W41+W44+W48+W49</f>
        <v>7184197.5499999998</v>
      </c>
      <c r="X4" s="204">
        <f t="shared" si="5"/>
        <v>2070977.99</v>
      </c>
      <c r="Y4" s="205">
        <f t="shared" si="5"/>
        <v>1156297.8</v>
      </c>
      <c r="Z4" s="206">
        <f>SUM(Z5+Z11+Z19+Z26+Z36+Z41+Z44+Z48+Z49)</f>
        <v>3625546.42</v>
      </c>
      <c r="AA4" s="229">
        <f>SUM(AA5+AA11+AA19+AA26+AA36+AA41+AA44+AA48+AA49)</f>
        <v>3350080</v>
      </c>
      <c r="AB4" s="237">
        <f>AB5+AB11+AB19+AB26+AB36+AB41+AB44+AB48+AB49</f>
        <v>150806297.98479998</v>
      </c>
      <c r="AD4" s="147"/>
      <c r="AE4" s="147"/>
    </row>
    <row r="5" spans="1:31" x14ac:dyDescent="0.2">
      <c r="A5" s="207">
        <v>411</v>
      </c>
      <c r="B5" s="163" t="s">
        <v>29</v>
      </c>
      <c r="C5" s="208">
        <f>SUM(C6:C10)</f>
        <v>975620.32</v>
      </c>
      <c r="D5" s="208">
        <f>SUM(D6:D10)</f>
        <v>4504333.2047999995</v>
      </c>
      <c r="E5" s="208">
        <f>SUM(E6:E10)</f>
        <v>3045917.1</v>
      </c>
      <c r="F5" s="208">
        <f t="shared" ref="F5:W5" si="6">SUM(F6:F10)</f>
        <v>3767620.04</v>
      </c>
      <c r="G5" s="208">
        <f>SUM(G6:G10)</f>
        <v>8992511.8300000001</v>
      </c>
      <c r="H5" s="208">
        <f t="shared" si="6"/>
        <v>2801906.4</v>
      </c>
      <c r="I5" s="208">
        <f>SUM(I6:I10)</f>
        <v>2202788.44</v>
      </c>
      <c r="J5" s="208">
        <f t="shared" si="6"/>
        <v>1022009.65</v>
      </c>
      <c r="K5" s="208">
        <f>SUM(K6:K10)</f>
        <v>4454818.9999999991</v>
      </c>
      <c r="L5" s="208">
        <f>SUM(L6:L10)</f>
        <v>1345159.69</v>
      </c>
      <c r="M5" s="208">
        <f>SUM(M6:M10)</f>
        <v>4571155.2299999986</v>
      </c>
      <c r="N5" s="208">
        <f>SUM(N6:N10)</f>
        <v>1211779.6900000002</v>
      </c>
      <c r="O5" s="208">
        <f t="shared" si="6"/>
        <v>6335719.8799999999</v>
      </c>
      <c r="P5" s="208">
        <f>SUM(P6:P10)</f>
        <v>587313.78</v>
      </c>
      <c r="Q5" s="208">
        <f t="shared" si="6"/>
        <v>1626807.1099999996</v>
      </c>
      <c r="R5" s="208">
        <f>SUM(R6:R10)</f>
        <v>683465.42999999993</v>
      </c>
      <c r="S5" s="208">
        <f>SUM(S6:S10)</f>
        <v>4637280.97</v>
      </c>
      <c r="T5" s="208">
        <f>SUM(T6:T10)</f>
        <v>16152527.6</v>
      </c>
      <c r="U5" s="208">
        <f>SUM(U6:U10)</f>
        <v>2727173.16</v>
      </c>
      <c r="V5" s="208">
        <f>SUM(V6:V10)</f>
        <v>2732371.82</v>
      </c>
      <c r="W5" s="208">
        <f t="shared" si="6"/>
        <v>3832523.54</v>
      </c>
      <c r="X5" s="208">
        <f>SUM(X6:X10)</f>
        <v>925396.85</v>
      </c>
      <c r="Y5" s="208">
        <f>SUM(Y6:Y10)</f>
        <v>517428.63</v>
      </c>
      <c r="Z5" s="209">
        <f>SUM(Z6:Z10)</f>
        <v>1507683.18</v>
      </c>
      <c r="AA5" s="230">
        <f>SUM(AA6:AA10)</f>
        <v>1369180</v>
      </c>
      <c r="AB5" s="238">
        <f t="shared" ref="AB5" si="7">SUM(AB6:AB10)</f>
        <v>82530492.544799998</v>
      </c>
      <c r="AD5" s="147"/>
      <c r="AE5" s="147"/>
    </row>
    <row r="6" spans="1:31" x14ac:dyDescent="0.2">
      <c r="A6" s="210" t="s">
        <v>30</v>
      </c>
      <c r="B6" s="168" t="s">
        <v>31</v>
      </c>
      <c r="C6" s="211">
        <v>803118</v>
      </c>
      <c r="D6" s="211">
        <v>3657061.23</v>
      </c>
      <c r="E6" s="211">
        <v>3006065.43</v>
      </c>
      <c r="F6" s="211">
        <v>3761463.21</v>
      </c>
      <c r="G6" s="211">
        <v>7196814.3600000003</v>
      </c>
      <c r="H6" s="211">
        <v>2309922.71</v>
      </c>
      <c r="I6" s="211">
        <v>1808352.39</v>
      </c>
      <c r="J6" s="211">
        <v>874327.38</v>
      </c>
      <c r="K6" s="211">
        <v>3688672.42</v>
      </c>
      <c r="L6" s="211">
        <v>1111282.73</v>
      </c>
      <c r="M6" s="211">
        <v>3737239.63</v>
      </c>
      <c r="N6" s="211">
        <v>1004059.98</v>
      </c>
      <c r="O6" s="211">
        <v>5199746.6399999997</v>
      </c>
      <c r="P6" s="211">
        <v>487511.32</v>
      </c>
      <c r="Q6" s="211">
        <v>1351261.8199999998</v>
      </c>
      <c r="R6" s="211">
        <v>575212.44999999995</v>
      </c>
      <c r="S6" s="211">
        <v>3824318.25</v>
      </c>
      <c r="T6" s="211">
        <v>13251787.779999999</v>
      </c>
      <c r="U6" s="211">
        <v>2724721.91</v>
      </c>
      <c r="V6" s="212">
        <v>2216836.77</v>
      </c>
      <c r="W6" s="211">
        <v>3099698.56</v>
      </c>
      <c r="X6" s="211">
        <v>772727.38</v>
      </c>
      <c r="Y6" s="211">
        <v>439907.82</v>
      </c>
      <c r="Z6" s="211">
        <v>1257590.93</v>
      </c>
      <c r="AA6" s="231">
        <v>1133000</v>
      </c>
      <c r="AB6" s="239">
        <f>SUM(C6:AA6)</f>
        <v>69292701.100000009</v>
      </c>
      <c r="AD6" s="147"/>
      <c r="AE6" s="147"/>
    </row>
    <row r="7" spans="1:31" x14ac:dyDescent="0.2">
      <c r="A7" s="210" t="s">
        <v>32</v>
      </c>
      <c r="B7" s="168" t="s">
        <v>33</v>
      </c>
      <c r="C7" s="211">
        <v>36027.56</v>
      </c>
      <c r="D7" s="211">
        <v>206326.74</v>
      </c>
      <c r="E7" s="211">
        <v>4805.1899999999996</v>
      </c>
      <c r="F7" s="211">
        <v>0</v>
      </c>
      <c r="G7" s="211">
        <v>544961.99</v>
      </c>
      <c r="H7" s="211">
        <v>108405.71</v>
      </c>
      <c r="I7" s="211">
        <v>89107.81</v>
      </c>
      <c r="J7" s="211">
        <v>30781.45</v>
      </c>
      <c r="K7" s="211">
        <v>212626.05</v>
      </c>
      <c r="L7" s="211">
        <v>54163.22</v>
      </c>
      <c r="M7" s="211">
        <v>241304.51</v>
      </c>
      <c r="N7" s="211">
        <v>45790.71</v>
      </c>
      <c r="O7" s="211">
        <v>255303.46</v>
      </c>
      <c r="P7" s="211">
        <v>27143.119999999999</v>
      </c>
      <c r="Q7" s="211">
        <v>49121.67</v>
      </c>
      <c r="R7" s="211">
        <v>19874.89</v>
      </c>
      <c r="S7" s="211">
        <v>191409.7</v>
      </c>
      <c r="T7" s="211">
        <v>738801.75</v>
      </c>
      <c r="U7" s="211">
        <v>0</v>
      </c>
      <c r="V7" s="212">
        <v>133680.38</v>
      </c>
      <c r="W7" s="211">
        <v>190460.39</v>
      </c>
      <c r="X7" s="211">
        <v>40792.300000000003</v>
      </c>
      <c r="Y7" s="211">
        <v>17772.57</v>
      </c>
      <c r="Z7" s="211">
        <v>59640.93</v>
      </c>
      <c r="AA7" s="231">
        <v>58800</v>
      </c>
      <c r="AB7" s="239">
        <f t="shared" ref="AB7:AB10" si="8">SUM(C7:AA7)</f>
        <v>3357102.0999999996</v>
      </c>
      <c r="AD7" s="147"/>
      <c r="AE7" s="147"/>
    </row>
    <row r="8" spans="1:31" x14ac:dyDescent="0.2">
      <c r="A8" s="210" t="s">
        <v>34</v>
      </c>
      <c r="B8" s="168" t="s">
        <v>35</v>
      </c>
      <c r="C8" s="211">
        <v>106326.85</v>
      </c>
      <c r="D8" s="211">
        <v>453013.41</v>
      </c>
      <c r="E8" s="211">
        <v>12067.6</v>
      </c>
      <c r="F8" s="211">
        <v>0</v>
      </c>
      <c r="G8" s="211">
        <v>907338.15</v>
      </c>
      <c r="H8" s="211">
        <v>284351.14</v>
      </c>
      <c r="I8" s="211">
        <v>222603.88</v>
      </c>
      <c r="J8" s="211">
        <v>104014.67</v>
      </c>
      <c r="K8" s="211">
        <v>454002.76</v>
      </c>
      <c r="L8" s="211">
        <v>135013.35999999999</v>
      </c>
      <c r="M8" s="211">
        <v>486295.81</v>
      </c>
      <c r="N8" s="211">
        <v>122540.83</v>
      </c>
      <c r="O8" s="211">
        <v>639225.51</v>
      </c>
      <c r="P8" s="211">
        <v>60324.83</v>
      </c>
      <c r="Q8" s="211">
        <v>160978.03</v>
      </c>
      <c r="R8" s="211">
        <v>69733.59</v>
      </c>
      <c r="S8" s="211">
        <v>471070.89</v>
      </c>
      <c r="T8" s="211">
        <v>1629540.48</v>
      </c>
      <c r="U8" s="211">
        <v>0</v>
      </c>
      <c r="V8" s="212">
        <v>271691.90000000002</v>
      </c>
      <c r="W8" s="211">
        <v>381664.17</v>
      </c>
      <c r="X8" s="211">
        <v>95441.58</v>
      </c>
      <c r="Y8" s="211">
        <v>53833.93</v>
      </c>
      <c r="Z8" s="211">
        <v>154877.82</v>
      </c>
      <c r="AA8" s="231">
        <v>142500</v>
      </c>
      <c r="AB8" s="239">
        <f t="shared" si="8"/>
        <v>7418451.1899999995</v>
      </c>
      <c r="AD8" s="147"/>
      <c r="AE8" s="147"/>
    </row>
    <row r="9" spans="1:31" x14ac:dyDescent="0.2">
      <c r="A9" s="210" t="s">
        <v>36</v>
      </c>
      <c r="B9" s="168" t="s">
        <v>37</v>
      </c>
      <c r="C9" s="211">
        <v>25899.22</v>
      </c>
      <c r="D9" s="211">
        <v>161136.6</v>
      </c>
      <c r="E9" s="211">
        <v>5530.51</v>
      </c>
      <c r="F9" s="211">
        <v>6156.8300000000008</v>
      </c>
      <c r="G9" s="211">
        <v>288905.31</v>
      </c>
      <c r="H9" s="211">
        <v>82963.960000000006</v>
      </c>
      <c r="I9" s="211">
        <v>71140.34</v>
      </c>
      <c r="J9" s="211">
        <v>8883.77</v>
      </c>
      <c r="K9" s="211">
        <v>71876.350000000006</v>
      </c>
      <c r="L9" s="211">
        <v>37659.4</v>
      </c>
      <c r="M9" s="211">
        <v>74944.97</v>
      </c>
      <c r="N9" s="211">
        <v>33484.339999999997</v>
      </c>
      <c r="O9" s="211">
        <v>208254.95</v>
      </c>
      <c r="P9" s="211">
        <v>12334.51</v>
      </c>
      <c r="Q9" s="211">
        <v>59010.69</v>
      </c>
      <c r="R9" s="211">
        <v>16030.65</v>
      </c>
      <c r="S9" s="211">
        <v>125525.82</v>
      </c>
      <c r="T9" s="211">
        <v>421717.74</v>
      </c>
      <c r="U9" s="211">
        <v>2451.25</v>
      </c>
      <c r="V9" s="212">
        <v>92784.05</v>
      </c>
      <c r="W9" s="211">
        <v>136021.15</v>
      </c>
      <c r="X9" s="211">
        <v>11242.39</v>
      </c>
      <c r="Y9" s="211">
        <v>3574.58</v>
      </c>
      <c r="Z9" s="211">
        <v>27437.4</v>
      </c>
      <c r="AA9" s="231">
        <v>27200</v>
      </c>
      <c r="AB9" s="239">
        <f t="shared" si="8"/>
        <v>2012166.7799999996</v>
      </c>
      <c r="AD9" s="147"/>
      <c r="AE9" s="147"/>
    </row>
    <row r="10" spans="1:31" x14ac:dyDescent="0.2">
      <c r="A10" s="210" t="s">
        <v>38</v>
      </c>
      <c r="B10" s="168" t="s">
        <v>39</v>
      </c>
      <c r="C10" s="211">
        <v>4248.6899999999996</v>
      </c>
      <c r="D10" s="211">
        <v>26795.2248</v>
      </c>
      <c r="E10" s="211">
        <v>17448.370000000003</v>
      </c>
      <c r="F10" s="211">
        <v>0</v>
      </c>
      <c r="G10" s="211">
        <v>54492.02</v>
      </c>
      <c r="H10" s="211">
        <v>16262.88</v>
      </c>
      <c r="I10" s="211">
        <v>11584.02</v>
      </c>
      <c r="J10" s="211">
        <v>4002.38</v>
      </c>
      <c r="K10" s="211">
        <v>27641.42</v>
      </c>
      <c r="L10" s="211">
        <v>7040.9800000000005</v>
      </c>
      <c r="M10" s="211">
        <v>31370.31</v>
      </c>
      <c r="N10" s="211">
        <v>5903.83</v>
      </c>
      <c r="O10" s="211">
        <v>33189.32</v>
      </c>
      <c r="P10" s="211">
        <v>0</v>
      </c>
      <c r="Q10" s="211">
        <v>6434.9</v>
      </c>
      <c r="R10" s="211">
        <v>2613.85</v>
      </c>
      <c r="S10" s="211">
        <v>24956.31</v>
      </c>
      <c r="T10" s="211">
        <v>110679.85</v>
      </c>
      <c r="U10" s="211">
        <v>0</v>
      </c>
      <c r="V10" s="212">
        <v>17378.72</v>
      </c>
      <c r="W10" s="211">
        <v>24679.27</v>
      </c>
      <c r="X10" s="211">
        <v>5193.2</v>
      </c>
      <c r="Y10" s="211">
        <v>2339.73</v>
      </c>
      <c r="Z10" s="211">
        <v>8136.1</v>
      </c>
      <c r="AA10" s="231">
        <v>7680</v>
      </c>
      <c r="AB10" s="239">
        <f t="shared" si="8"/>
        <v>450071.37479999993</v>
      </c>
      <c r="AD10" s="147"/>
      <c r="AE10" s="147"/>
    </row>
    <row r="11" spans="1:31" x14ac:dyDescent="0.2">
      <c r="A11" s="207">
        <v>412</v>
      </c>
      <c r="B11" s="163" t="s">
        <v>40</v>
      </c>
      <c r="C11" s="208">
        <f t="shared" ref="C11" si="9">SUM(C12:C18)</f>
        <v>123825.73000000001</v>
      </c>
      <c r="D11" s="208">
        <f t="shared" ref="D11:E11" si="10">SUM(D12:D18)</f>
        <v>413256.88999999996</v>
      </c>
      <c r="E11" s="208">
        <f t="shared" si="10"/>
        <v>139650.9</v>
      </c>
      <c r="F11" s="208">
        <f t="shared" ref="F11:W11" si="11">SUM(F12:F18)</f>
        <v>183096.58000000002</v>
      </c>
      <c r="G11" s="208">
        <f t="shared" ref="G11" si="12">SUM(G12:G18)</f>
        <v>1055017.6299999999</v>
      </c>
      <c r="H11" s="208">
        <f t="shared" si="11"/>
        <v>128974.43</v>
      </c>
      <c r="I11" s="213">
        <f t="shared" ref="I11" si="13">SUM(I12:I18)</f>
        <v>89134.49</v>
      </c>
      <c r="J11" s="208">
        <f t="shared" si="11"/>
        <v>100541.09</v>
      </c>
      <c r="K11" s="208">
        <f t="shared" ref="K11" si="14">SUM(K12:K18)</f>
        <v>518807.87</v>
      </c>
      <c r="L11" s="208">
        <f t="shared" ref="L11" si="15">SUM(L12:L18)</f>
        <v>231718.99</v>
      </c>
      <c r="M11" s="208">
        <f t="shared" ref="M11" si="16">SUM(M12:M18)</f>
        <v>662536.31000000006</v>
      </c>
      <c r="N11" s="208">
        <f t="shared" ref="N11" si="17">SUM(N12:N18)</f>
        <v>185021.25</v>
      </c>
      <c r="O11" s="208">
        <f t="shared" si="11"/>
        <v>675011.76</v>
      </c>
      <c r="P11" s="208">
        <f t="shared" ref="P11" si="18">SUM(P12:P18)</f>
        <v>42432.37</v>
      </c>
      <c r="Q11" s="208">
        <f t="shared" si="11"/>
        <v>76461.11</v>
      </c>
      <c r="R11" s="208">
        <f t="shared" si="11"/>
        <v>154870.66999999998</v>
      </c>
      <c r="S11" s="208">
        <f>SUM(S12:S18)</f>
        <v>534690.44999999995</v>
      </c>
      <c r="T11" s="208">
        <f t="shared" ref="T11:V11" si="19">SUM(T12:T18)</f>
        <v>826673.56</v>
      </c>
      <c r="U11" s="208">
        <f t="shared" si="19"/>
        <v>90270</v>
      </c>
      <c r="V11" s="208">
        <f t="shared" si="19"/>
        <v>372120.44</v>
      </c>
      <c r="W11" s="208">
        <f t="shared" si="11"/>
        <v>297964.08999999997</v>
      </c>
      <c r="X11" s="208">
        <f t="shared" ref="X11:Y11" si="20">SUM(X12:X18)</f>
        <v>132180.63</v>
      </c>
      <c r="Y11" s="208">
        <f t="shared" si="20"/>
        <v>55561.409999999996</v>
      </c>
      <c r="Z11" s="209">
        <f>SUM(Z12:Z18)</f>
        <v>172347.35</v>
      </c>
      <c r="AA11" s="230">
        <f>SUM(AA12:AA18)</f>
        <v>171650</v>
      </c>
      <c r="AB11" s="238">
        <f>SUM(AB12:AB18)</f>
        <v>7433816</v>
      </c>
      <c r="AD11" s="147"/>
      <c r="AE11" s="147"/>
    </row>
    <row r="12" spans="1:31" x14ac:dyDescent="0.2">
      <c r="A12" s="210" t="s">
        <v>41</v>
      </c>
      <c r="B12" s="168" t="s">
        <v>42</v>
      </c>
      <c r="C12" s="214"/>
      <c r="D12" s="214">
        <v>0</v>
      </c>
      <c r="E12" s="214">
        <v>0</v>
      </c>
      <c r="F12" s="214">
        <v>0</v>
      </c>
      <c r="G12" s="214"/>
      <c r="H12" s="214">
        <v>0</v>
      </c>
      <c r="I12" s="211">
        <v>0</v>
      </c>
      <c r="J12" s="214">
        <v>0</v>
      </c>
      <c r="K12" s="214">
        <v>113100</v>
      </c>
      <c r="L12" s="214">
        <v>45450</v>
      </c>
      <c r="M12" s="214">
        <v>209081.48</v>
      </c>
      <c r="N12" s="214">
        <v>18044.32</v>
      </c>
      <c r="O12" s="214">
        <v>100000</v>
      </c>
      <c r="P12" s="214"/>
      <c r="Q12" s="214">
        <v>0</v>
      </c>
      <c r="R12" s="214">
        <v>30707.05</v>
      </c>
      <c r="S12" s="214">
        <v>160639.35999999999</v>
      </c>
      <c r="T12" s="214">
        <v>0</v>
      </c>
      <c r="U12" s="214"/>
      <c r="V12" s="212">
        <v>111825.8</v>
      </c>
      <c r="W12" s="214">
        <v>0</v>
      </c>
      <c r="X12" s="214">
        <v>14033.12</v>
      </c>
      <c r="Y12" s="214"/>
      <c r="Z12" s="214">
        <v>23766.84</v>
      </c>
      <c r="AA12" s="231">
        <v>27150</v>
      </c>
      <c r="AB12" s="239">
        <f>SUM(C12:AA12)</f>
        <v>853797.97</v>
      </c>
      <c r="AD12" s="147"/>
      <c r="AE12" s="147"/>
    </row>
    <row r="13" spans="1:31" x14ac:dyDescent="0.2">
      <c r="A13" s="210" t="s">
        <v>43</v>
      </c>
      <c r="B13" s="168" t="s">
        <v>44</v>
      </c>
      <c r="C13" s="214"/>
      <c r="D13" s="214">
        <v>0</v>
      </c>
      <c r="E13" s="214">
        <v>0</v>
      </c>
      <c r="F13" s="214">
        <v>0</v>
      </c>
      <c r="G13" s="214"/>
      <c r="H13" s="214">
        <v>0</v>
      </c>
      <c r="I13" s="211"/>
      <c r="J13" s="214">
        <v>0</v>
      </c>
      <c r="K13" s="214">
        <v>0</v>
      </c>
      <c r="L13" s="214">
        <v>0</v>
      </c>
      <c r="M13" s="214">
        <v>0</v>
      </c>
      <c r="N13" s="214">
        <v>0</v>
      </c>
      <c r="O13" s="214">
        <v>0</v>
      </c>
      <c r="P13" s="214"/>
      <c r="Q13" s="214">
        <v>0</v>
      </c>
      <c r="R13" s="214">
        <v>0</v>
      </c>
      <c r="S13" s="214">
        <v>0</v>
      </c>
      <c r="T13" s="214">
        <v>0</v>
      </c>
      <c r="U13" s="214"/>
      <c r="V13" s="212">
        <v>0</v>
      </c>
      <c r="W13" s="214">
        <v>0</v>
      </c>
      <c r="X13" s="214"/>
      <c r="Y13" s="214"/>
      <c r="Z13" s="214">
        <v>0</v>
      </c>
      <c r="AA13" s="231">
        <v>0</v>
      </c>
      <c r="AB13" s="239">
        <f t="shared" ref="AB13:AB18" si="21">SUM(C13:AA13)</f>
        <v>0</v>
      </c>
      <c r="AD13" s="147"/>
      <c r="AE13" s="147"/>
    </row>
    <row r="14" spans="1:31" x14ac:dyDescent="0.2">
      <c r="A14" s="210" t="s">
        <v>45</v>
      </c>
      <c r="B14" s="168" t="s">
        <v>46</v>
      </c>
      <c r="C14" s="214"/>
      <c r="D14" s="214">
        <v>38515.01</v>
      </c>
      <c r="E14" s="214">
        <v>0</v>
      </c>
      <c r="F14" s="214">
        <v>0</v>
      </c>
      <c r="G14" s="214"/>
      <c r="H14" s="214">
        <v>0</v>
      </c>
      <c r="I14" s="211"/>
      <c r="J14" s="214">
        <v>0</v>
      </c>
      <c r="K14" s="214">
        <v>0</v>
      </c>
      <c r="L14" s="214">
        <v>0</v>
      </c>
      <c r="M14" s="214">
        <v>192991.7</v>
      </c>
      <c r="N14" s="214">
        <v>0</v>
      </c>
      <c r="O14" s="214">
        <v>0</v>
      </c>
      <c r="P14" s="214"/>
      <c r="Q14" s="214">
        <v>0</v>
      </c>
      <c r="R14" s="214">
        <v>0</v>
      </c>
      <c r="S14" s="214">
        <v>0</v>
      </c>
      <c r="T14" s="214">
        <v>0</v>
      </c>
      <c r="U14" s="214"/>
      <c r="V14" s="212">
        <v>43560.95</v>
      </c>
      <c r="W14" s="214">
        <v>0</v>
      </c>
      <c r="X14" s="214"/>
      <c r="Y14" s="214"/>
      <c r="Z14" s="214">
        <v>0</v>
      </c>
      <c r="AA14" s="231">
        <v>0</v>
      </c>
      <c r="AB14" s="239">
        <f t="shared" si="21"/>
        <v>275067.66000000003</v>
      </c>
      <c r="AD14" s="147"/>
      <c r="AE14" s="147"/>
    </row>
    <row r="15" spans="1:31" x14ac:dyDescent="0.2">
      <c r="A15" s="210" t="s">
        <v>47</v>
      </c>
      <c r="B15" s="168" t="s">
        <v>48</v>
      </c>
      <c r="C15" s="214">
        <v>324</v>
      </c>
      <c r="D15" s="214">
        <v>1404</v>
      </c>
      <c r="E15" s="214">
        <v>0</v>
      </c>
      <c r="F15" s="214">
        <v>0</v>
      </c>
      <c r="G15" s="214">
        <v>9152.69</v>
      </c>
      <c r="H15" s="214">
        <v>0</v>
      </c>
      <c r="I15" s="211">
        <v>1080</v>
      </c>
      <c r="J15" s="214">
        <v>0</v>
      </c>
      <c r="K15" s="214">
        <v>0</v>
      </c>
      <c r="L15" s="214">
        <v>0</v>
      </c>
      <c r="M15" s="214">
        <v>9180</v>
      </c>
      <c r="N15" s="214">
        <v>0</v>
      </c>
      <c r="O15" s="214">
        <v>26277.63</v>
      </c>
      <c r="P15" s="214"/>
      <c r="Q15" s="214">
        <v>0</v>
      </c>
      <c r="R15" s="214">
        <v>700</v>
      </c>
      <c r="S15" s="214">
        <v>2160</v>
      </c>
      <c r="T15" s="214">
        <v>14256</v>
      </c>
      <c r="U15" s="214">
        <v>7020</v>
      </c>
      <c r="V15" s="212">
        <v>12090.12</v>
      </c>
      <c r="W15" s="214">
        <v>0</v>
      </c>
      <c r="X15" s="214">
        <v>0</v>
      </c>
      <c r="Y15" s="214"/>
      <c r="Z15" s="214">
        <v>216</v>
      </c>
      <c r="AA15" s="231">
        <v>0</v>
      </c>
      <c r="AB15" s="239">
        <f t="shared" si="21"/>
        <v>83860.44</v>
      </c>
      <c r="AD15" s="147"/>
      <c r="AE15" s="147"/>
    </row>
    <row r="16" spans="1:31" x14ac:dyDescent="0.2">
      <c r="A16" s="210" t="s">
        <v>49</v>
      </c>
      <c r="B16" s="168" t="s">
        <v>50</v>
      </c>
      <c r="C16" s="214">
        <v>9000</v>
      </c>
      <c r="D16" s="214">
        <v>210647.66</v>
      </c>
      <c r="E16" s="214">
        <v>0</v>
      </c>
      <c r="F16" s="214">
        <v>29734.53</v>
      </c>
      <c r="G16" s="214">
        <v>8717.98</v>
      </c>
      <c r="H16" s="214">
        <v>13110</v>
      </c>
      <c r="I16" s="211">
        <v>10751.86</v>
      </c>
      <c r="J16" s="214">
        <v>5130</v>
      </c>
      <c r="K16" s="214">
        <v>55518.18</v>
      </c>
      <c r="L16" s="214">
        <v>6120</v>
      </c>
      <c r="M16" s="214">
        <v>51030</v>
      </c>
      <c r="N16" s="214">
        <v>1530</v>
      </c>
      <c r="O16" s="214">
        <v>122373.38</v>
      </c>
      <c r="P16" s="214"/>
      <c r="Q16" s="214">
        <v>12450</v>
      </c>
      <c r="R16" s="214">
        <v>11395.88</v>
      </c>
      <c r="S16" s="214">
        <v>29934.86</v>
      </c>
      <c r="T16" s="214">
        <v>56535.33</v>
      </c>
      <c r="U16" s="214"/>
      <c r="V16" s="212">
        <v>49142.47</v>
      </c>
      <c r="W16" s="214">
        <v>18360</v>
      </c>
      <c r="X16" s="214"/>
      <c r="Y16" s="214"/>
      <c r="Z16" s="214">
        <v>1535.98</v>
      </c>
      <c r="AA16" s="231">
        <v>5000</v>
      </c>
      <c r="AB16" s="239">
        <f t="shared" si="21"/>
        <v>708018.11</v>
      </c>
      <c r="AD16" s="147"/>
      <c r="AE16" s="147"/>
    </row>
    <row r="17" spans="1:31" x14ac:dyDescent="0.2">
      <c r="A17" s="210" t="s">
        <v>51</v>
      </c>
      <c r="B17" s="168" t="s">
        <v>52</v>
      </c>
      <c r="C17" s="214">
        <v>90120.19</v>
      </c>
      <c r="D17" s="214">
        <v>136117.04999999999</v>
      </c>
      <c r="E17" s="214">
        <v>87384.4</v>
      </c>
      <c r="F17" s="214">
        <v>128882.05</v>
      </c>
      <c r="G17" s="214">
        <v>203864.64</v>
      </c>
      <c r="H17" s="214">
        <v>25405.89</v>
      </c>
      <c r="I17" s="211">
        <v>60613.11</v>
      </c>
      <c r="J17" s="214">
        <v>85781.83</v>
      </c>
      <c r="K17" s="214">
        <v>204774.31</v>
      </c>
      <c r="L17" s="214">
        <v>115262.99</v>
      </c>
      <c r="M17" s="214">
        <v>145452.07999999999</v>
      </c>
      <c r="N17" s="214">
        <v>101268.56</v>
      </c>
      <c r="O17" s="214">
        <v>135265.54999999999</v>
      </c>
      <c r="P17" s="214">
        <v>41674.370000000003</v>
      </c>
      <c r="Q17" s="214">
        <v>54577.83</v>
      </c>
      <c r="R17" s="214">
        <v>91283.03</v>
      </c>
      <c r="S17" s="214">
        <v>165230.35999999999</v>
      </c>
      <c r="T17" s="214">
        <v>279713.62</v>
      </c>
      <c r="U17" s="214">
        <v>81250</v>
      </c>
      <c r="V17" s="212">
        <v>133181.1</v>
      </c>
      <c r="W17" s="214">
        <v>95159.62</v>
      </c>
      <c r="X17" s="214">
        <v>69626.36</v>
      </c>
      <c r="Y17" s="214">
        <v>21947.1</v>
      </c>
      <c r="Z17" s="214">
        <v>115541.43</v>
      </c>
      <c r="AA17" s="231">
        <v>116500</v>
      </c>
      <c r="AB17" s="239">
        <f t="shared" si="21"/>
        <v>2785877.4700000007</v>
      </c>
      <c r="AD17" s="147"/>
      <c r="AE17" s="147"/>
    </row>
    <row r="18" spans="1:31" x14ac:dyDescent="0.2">
      <c r="A18" s="210" t="s">
        <v>53</v>
      </c>
      <c r="B18" s="168" t="s">
        <v>54</v>
      </c>
      <c r="C18" s="211">
        <v>24381.54</v>
      </c>
      <c r="D18" s="211">
        <v>26573.17</v>
      </c>
      <c r="E18" s="211">
        <v>52266.5</v>
      </c>
      <c r="F18" s="211">
        <v>24480</v>
      </c>
      <c r="G18" s="211">
        <v>833282.32</v>
      </c>
      <c r="H18" s="211">
        <v>90458.54</v>
      </c>
      <c r="I18" s="211">
        <v>16689.52</v>
      </c>
      <c r="J18" s="211">
        <v>9629.26</v>
      </c>
      <c r="K18" s="211">
        <v>145415.38</v>
      </c>
      <c r="L18" s="211">
        <v>64886</v>
      </c>
      <c r="M18" s="211">
        <v>54801.05</v>
      </c>
      <c r="N18" s="211">
        <v>64178.37</v>
      </c>
      <c r="O18" s="211">
        <v>291095.2</v>
      </c>
      <c r="P18" s="211">
        <v>758</v>
      </c>
      <c r="Q18" s="211">
        <v>9433.2800000000007</v>
      </c>
      <c r="R18" s="211">
        <v>20784.71</v>
      </c>
      <c r="S18" s="211">
        <v>176725.87</v>
      </c>
      <c r="T18" s="211">
        <v>476168.61</v>
      </c>
      <c r="U18" s="211">
        <v>2000</v>
      </c>
      <c r="V18" s="212">
        <v>22320</v>
      </c>
      <c r="W18" s="211">
        <v>184444.47</v>
      </c>
      <c r="X18" s="211">
        <v>48521.15</v>
      </c>
      <c r="Y18" s="211">
        <v>33614.31</v>
      </c>
      <c r="Z18" s="211">
        <v>31287.1</v>
      </c>
      <c r="AA18" s="231">
        <v>23000</v>
      </c>
      <c r="AB18" s="239">
        <f t="shared" si="21"/>
        <v>2727194.35</v>
      </c>
      <c r="AD18" s="147"/>
      <c r="AE18" s="147"/>
    </row>
    <row r="19" spans="1:31" x14ac:dyDescent="0.2">
      <c r="A19" s="207">
        <v>413</v>
      </c>
      <c r="B19" s="163" t="s">
        <v>55</v>
      </c>
      <c r="C19" s="208">
        <f t="shared" ref="C19" si="22">SUM(C20:C25)</f>
        <v>53416.509999999995</v>
      </c>
      <c r="D19" s="208">
        <f t="shared" ref="D19:E19" si="23">SUM(D20:D25)</f>
        <v>620212.96</v>
      </c>
      <c r="E19" s="208">
        <f t="shared" si="23"/>
        <v>119940.14</v>
      </c>
      <c r="F19" s="208">
        <f t="shared" ref="F19:O19" si="24">SUM(F20:F25)</f>
        <v>485069.85000000003</v>
      </c>
      <c r="G19" s="208">
        <f t="shared" ref="G19" si="25">SUM(G20:G25)</f>
        <v>664657.75</v>
      </c>
      <c r="H19" s="208">
        <f t="shared" si="24"/>
        <v>319783.82999999996</v>
      </c>
      <c r="I19" s="213">
        <f t="shared" ref="I19" si="26">SUM(I20:I25)</f>
        <v>193021.63999999998</v>
      </c>
      <c r="J19" s="208">
        <f>SUM(J20:J25)</f>
        <v>69937.219999999987</v>
      </c>
      <c r="K19" s="208">
        <f t="shared" ref="K19" si="27">SUM(K20:K25)</f>
        <v>474429.58</v>
      </c>
      <c r="L19" s="208">
        <f t="shared" ref="L19" si="28">SUM(L20:L25)</f>
        <v>167314.43000000002</v>
      </c>
      <c r="M19" s="208">
        <f t="shared" ref="M19" si="29">SUM(M20:M25)</f>
        <v>718720.33</v>
      </c>
      <c r="N19" s="208">
        <f t="shared" ref="N19" si="30">SUM(N20:N25)</f>
        <v>151237.56999999998</v>
      </c>
      <c r="O19" s="208">
        <f t="shared" si="24"/>
        <v>644024.9</v>
      </c>
      <c r="P19" s="208">
        <f>P20+P21+P22+P23+P24+P25</f>
        <v>45307.81</v>
      </c>
      <c r="Q19" s="208">
        <f>SUM(Q20:Q25)</f>
        <v>101325.06999999999</v>
      </c>
      <c r="R19" s="208">
        <f t="shared" ref="R19" si="31">SUM(R20:R25)</f>
        <v>116531.32999999999</v>
      </c>
      <c r="S19" s="208">
        <f>SUM(S20:S25)</f>
        <v>628116.40999999992</v>
      </c>
      <c r="T19" s="208">
        <f t="shared" ref="T19:V19" si="32">SUM(T20:T25)</f>
        <v>2302172.1200000006</v>
      </c>
      <c r="U19" s="208">
        <f t="shared" si="32"/>
        <v>203633.33</v>
      </c>
      <c r="V19" s="208">
        <f t="shared" si="32"/>
        <v>332724.19</v>
      </c>
      <c r="W19" s="208">
        <f>SUM(W20:W25)</f>
        <v>460923.58999999997</v>
      </c>
      <c r="X19" s="208">
        <f t="shared" ref="X19" si="33">SUM(X20:X25)</f>
        <v>120442.17</v>
      </c>
      <c r="Y19" s="208">
        <f>SUM(Y20:Y25)</f>
        <v>69708.03</v>
      </c>
      <c r="Z19" s="208">
        <v>306758.52</v>
      </c>
      <c r="AA19" s="230">
        <f>SUM(AA20:AA25)</f>
        <v>138600</v>
      </c>
      <c r="AB19" s="238">
        <f>SUM(AB20:AB25)</f>
        <v>9508009.2800000012</v>
      </c>
      <c r="AD19" s="147"/>
      <c r="AE19" s="147"/>
    </row>
    <row r="20" spans="1:31" x14ac:dyDescent="0.2">
      <c r="A20" s="210" t="s">
        <v>56</v>
      </c>
      <c r="B20" s="168" t="s">
        <v>57</v>
      </c>
      <c r="C20" s="214">
        <v>5762.85</v>
      </c>
      <c r="D20" s="214">
        <v>110887.51</v>
      </c>
      <c r="E20" s="214">
        <v>10370.24</v>
      </c>
      <c r="F20" s="214">
        <v>15696.179999999998</v>
      </c>
      <c r="G20" s="214">
        <v>209849.14</v>
      </c>
      <c r="H20" s="214">
        <v>29783.25</v>
      </c>
      <c r="I20" s="211">
        <v>20629.349999999999</v>
      </c>
      <c r="J20" s="214">
        <v>2768.95</v>
      </c>
      <c r="K20" s="214">
        <v>61030.39</v>
      </c>
      <c r="L20" s="214">
        <v>40742.29</v>
      </c>
      <c r="M20" s="214">
        <v>96055.829999999987</v>
      </c>
      <c r="N20" s="214">
        <v>24410.85</v>
      </c>
      <c r="O20" s="214">
        <v>118609.96</v>
      </c>
      <c r="P20" s="214">
        <v>5017.28</v>
      </c>
      <c r="Q20" s="214">
        <v>9177.0600000000013</v>
      </c>
      <c r="R20" s="214">
        <v>27556.53</v>
      </c>
      <c r="S20" s="214">
        <v>51050.1</v>
      </c>
      <c r="T20" s="214">
        <v>309512.88</v>
      </c>
      <c r="U20" s="214">
        <v>28474.67</v>
      </c>
      <c r="V20" s="212">
        <v>44626.13</v>
      </c>
      <c r="W20" s="214">
        <v>18206.59</v>
      </c>
      <c r="X20" s="214">
        <v>21013.46</v>
      </c>
      <c r="Y20" s="214">
        <v>6140.5499999999993</v>
      </c>
      <c r="Z20" s="214">
        <v>18742.37</v>
      </c>
      <c r="AA20" s="231">
        <v>62100</v>
      </c>
      <c r="AB20" s="239">
        <f>SUM(C20:AA20)</f>
        <v>1348214.4100000001</v>
      </c>
      <c r="AD20" s="147"/>
      <c r="AE20" s="147"/>
    </row>
    <row r="21" spans="1:31" x14ac:dyDescent="0.2">
      <c r="A21" s="210" t="s">
        <v>58</v>
      </c>
      <c r="B21" s="168" t="s">
        <v>59</v>
      </c>
      <c r="C21" s="214"/>
      <c r="D21" s="214"/>
      <c r="E21" s="214">
        <v>0</v>
      </c>
      <c r="F21" s="214"/>
      <c r="G21" s="214"/>
      <c r="H21" s="214"/>
      <c r="I21" s="211"/>
      <c r="J21" s="214"/>
      <c r="K21" s="214"/>
      <c r="L21" s="214">
        <v>0</v>
      </c>
      <c r="M21" s="214"/>
      <c r="N21" s="214"/>
      <c r="O21" s="214"/>
      <c r="P21" s="214"/>
      <c r="Q21" s="214"/>
      <c r="R21" s="214"/>
      <c r="S21" s="214">
        <v>0</v>
      </c>
      <c r="T21" s="214">
        <v>14252.68</v>
      </c>
      <c r="U21" s="214"/>
      <c r="V21" s="214">
        <v>0</v>
      </c>
      <c r="W21" s="214"/>
      <c r="X21" s="214"/>
      <c r="Y21" s="214"/>
      <c r="Z21" s="214">
        <v>0</v>
      </c>
      <c r="AA21" s="231">
        <v>800</v>
      </c>
      <c r="AB21" s="239">
        <f t="shared" ref="AB21:AB25" si="34">SUM(C21:AA21)</f>
        <v>15052.68</v>
      </c>
      <c r="AD21" s="147"/>
      <c r="AE21" s="147"/>
    </row>
    <row r="22" spans="1:31" x14ac:dyDescent="0.2">
      <c r="A22" s="210" t="s">
        <v>60</v>
      </c>
      <c r="B22" s="168" t="s">
        <v>61</v>
      </c>
      <c r="C22" s="211">
        <v>3590.9</v>
      </c>
      <c r="D22" s="211">
        <v>8388.2199999999993</v>
      </c>
      <c r="E22" s="211">
        <v>11908.74</v>
      </c>
      <c r="F22" s="211">
        <v>61911.850000000006</v>
      </c>
      <c r="G22" s="214">
        <v>6703</v>
      </c>
      <c r="H22" s="211">
        <v>13255.91</v>
      </c>
      <c r="I22" s="211">
        <v>7388.72</v>
      </c>
      <c r="J22" s="211">
        <v>4694.18</v>
      </c>
      <c r="K22" s="211">
        <v>42967</v>
      </c>
      <c r="L22" s="211">
        <v>2199</v>
      </c>
      <c r="M22" s="211">
        <v>97825.950000000012</v>
      </c>
      <c r="N22" s="211">
        <v>5555.5</v>
      </c>
      <c r="O22" s="211">
        <v>30333.7</v>
      </c>
      <c r="P22" s="211">
        <v>1944.42</v>
      </c>
      <c r="Q22" s="211">
        <v>6271.8099999999995</v>
      </c>
      <c r="R22" s="211">
        <v>4822.5200000000004</v>
      </c>
      <c r="S22" s="211">
        <v>16773.03</v>
      </c>
      <c r="T22" s="211">
        <v>393061.9</v>
      </c>
      <c r="U22" s="211">
        <v>2474.6</v>
      </c>
      <c r="V22" s="212">
        <v>7052.48</v>
      </c>
      <c r="W22" s="211">
        <v>24913.47</v>
      </c>
      <c r="X22" s="211">
        <v>5943.19</v>
      </c>
      <c r="Y22" s="211"/>
      <c r="Z22" s="211">
        <v>8535.6299999999992</v>
      </c>
      <c r="AA22" s="231">
        <v>4600</v>
      </c>
      <c r="AB22" s="239">
        <f t="shared" si="34"/>
        <v>773115.72</v>
      </c>
      <c r="AD22" s="147"/>
      <c r="AE22" s="147"/>
    </row>
    <row r="23" spans="1:31" x14ac:dyDescent="0.2">
      <c r="A23" s="210" t="s">
        <v>62</v>
      </c>
      <c r="B23" s="168" t="s">
        <v>63</v>
      </c>
      <c r="C23" s="211">
        <v>20012.759999999998</v>
      </c>
      <c r="D23" s="211">
        <v>456147.87</v>
      </c>
      <c r="E23" s="211">
        <v>37584.480000000003</v>
      </c>
      <c r="F23" s="211">
        <v>339132.65</v>
      </c>
      <c r="G23" s="211">
        <f>63687.74+251272.55+57922.6</f>
        <v>372882.88999999996</v>
      </c>
      <c r="H23" s="211">
        <v>252415.44</v>
      </c>
      <c r="I23" s="211">
        <v>126957.08</v>
      </c>
      <c r="J23" s="211">
        <v>52976.67</v>
      </c>
      <c r="K23" s="211">
        <v>323670.62</v>
      </c>
      <c r="L23" s="211">
        <v>100042.32</v>
      </c>
      <c r="M23" s="211">
        <v>360457.8</v>
      </c>
      <c r="N23" s="211">
        <v>92045.14</v>
      </c>
      <c r="O23" s="211">
        <v>198547.24</v>
      </c>
      <c r="P23" s="211">
        <v>11400.17</v>
      </c>
      <c r="Q23" s="211">
        <v>51971.7</v>
      </c>
      <c r="R23" s="211">
        <v>33002.019999999997</v>
      </c>
      <c r="S23" s="211">
        <v>500940.36</v>
      </c>
      <c r="T23" s="211">
        <v>1399077.95</v>
      </c>
      <c r="U23" s="211">
        <v>140552.65</v>
      </c>
      <c r="V23" s="212">
        <v>251188.64</v>
      </c>
      <c r="W23" s="211">
        <v>392608.16</v>
      </c>
      <c r="X23" s="211">
        <v>70480.02</v>
      </c>
      <c r="Y23" s="211">
        <v>32177.93</v>
      </c>
      <c r="Z23" s="211">
        <v>240612.8</v>
      </c>
      <c r="AA23" s="231">
        <v>30000</v>
      </c>
      <c r="AB23" s="239">
        <f t="shared" si="34"/>
        <v>5886885.3599999994</v>
      </c>
      <c r="AD23" s="147"/>
      <c r="AE23" s="147"/>
    </row>
    <row r="24" spans="1:31" x14ac:dyDescent="0.2">
      <c r="A24" s="210" t="s">
        <v>64</v>
      </c>
      <c r="B24" s="168" t="s">
        <v>65</v>
      </c>
      <c r="C24" s="211">
        <v>24050</v>
      </c>
      <c r="D24" s="211">
        <v>36225.86</v>
      </c>
      <c r="E24" s="211">
        <v>59946.73</v>
      </c>
      <c r="F24" s="211">
        <v>68329.17</v>
      </c>
      <c r="G24" s="211">
        <v>75222.720000000001</v>
      </c>
      <c r="H24" s="211">
        <v>24329.23</v>
      </c>
      <c r="I24" s="211">
        <v>23538.12</v>
      </c>
      <c r="J24" s="211">
        <v>7855</v>
      </c>
      <c r="K24" s="211">
        <v>46761.57</v>
      </c>
      <c r="L24" s="211">
        <v>24330.82</v>
      </c>
      <c r="M24" s="211">
        <v>153421.35999999999</v>
      </c>
      <c r="N24" s="211">
        <v>22359.34</v>
      </c>
      <c r="O24" s="211">
        <v>219478.61</v>
      </c>
      <c r="P24" s="211">
        <v>20376.55</v>
      </c>
      <c r="Q24" s="211">
        <v>32855.440000000002</v>
      </c>
      <c r="R24" s="211">
        <v>46892.69</v>
      </c>
      <c r="S24" s="211">
        <v>49535.7</v>
      </c>
      <c r="T24" s="211">
        <v>185381.49</v>
      </c>
      <c r="U24" s="211">
        <v>32131.41</v>
      </c>
      <c r="V24" s="212">
        <v>29856.94</v>
      </c>
      <c r="W24" s="211">
        <v>23441.57</v>
      </c>
      <c r="X24" s="211">
        <v>23005.5</v>
      </c>
      <c r="Y24" s="211">
        <v>22364.86</v>
      </c>
      <c r="Z24" s="211">
        <v>38867.72</v>
      </c>
      <c r="AA24" s="231">
        <v>35000</v>
      </c>
      <c r="AB24" s="239">
        <f t="shared" si="34"/>
        <v>1325558.3999999999</v>
      </c>
      <c r="AD24" s="147"/>
      <c r="AE24" s="147"/>
    </row>
    <row r="25" spans="1:31" x14ac:dyDescent="0.2">
      <c r="A25" s="210" t="s">
        <v>66</v>
      </c>
      <c r="B25" s="168" t="s">
        <v>67</v>
      </c>
      <c r="C25" s="214"/>
      <c r="D25" s="214">
        <v>8563.5</v>
      </c>
      <c r="E25" s="214">
        <v>129.94999999999999</v>
      </c>
      <c r="F25" s="214"/>
      <c r="G25" s="214"/>
      <c r="H25" s="214">
        <v>0</v>
      </c>
      <c r="I25" s="211">
        <v>14508.37</v>
      </c>
      <c r="J25" s="214">
        <v>1642.42</v>
      </c>
      <c r="K25" s="214"/>
      <c r="L25" s="214">
        <v>0</v>
      </c>
      <c r="M25" s="214">
        <v>10959.39</v>
      </c>
      <c r="N25" s="214">
        <v>6866.74</v>
      </c>
      <c r="O25" s="214">
        <v>77055.39</v>
      </c>
      <c r="P25" s="214">
        <v>6569.3899999999994</v>
      </c>
      <c r="Q25" s="214">
        <v>1049.0600000000002</v>
      </c>
      <c r="R25" s="214">
        <v>4257.57</v>
      </c>
      <c r="S25" s="214">
        <v>9817.2199999999993</v>
      </c>
      <c r="T25" s="214">
        <v>885.22</v>
      </c>
      <c r="U25" s="214"/>
      <c r="V25" s="214">
        <v>0</v>
      </c>
      <c r="W25" s="214">
        <v>1753.8</v>
      </c>
      <c r="X25" s="214"/>
      <c r="Y25" s="214">
        <v>9024.69</v>
      </c>
      <c r="Z25" s="214">
        <v>0</v>
      </c>
      <c r="AA25" s="231">
        <v>6100</v>
      </c>
      <c r="AB25" s="239">
        <f t="shared" si="34"/>
        <v>159182.71</v>
      </c>
      <c r="AD25" s="147"/>
      <c r="AE25" s="147"/>
    </row>
    <row r="26" spans="1:31" x14ac:dyDescent="0.2">
      <c r="A26" s="207">
        <v>414</v>
      </c>
      <c r="B26" s="163" t="s">
        <v>68</v>
      </c>
      <c r="C26" s="208">
        <f t="shared" ref="C26" si="35">SUM(C27:C35)</f>
        <v>52581.510000000009</v>
      </c>
      <c r="D26" s="208">
        <f t="shared" ref="D26:E26" si="36">SUM(D27:D35)</f>
        <v>685189.2</v>
      </c>
      <c r="E26" s="208">
        <f t="shared" si="36"/>
        <v>537490.04</v>
      </c>
      <c r="F26" s="208">
        <f t="shared" ref="F26:W26" si="37">SUM(F27:F35)</f>
        <v>427836.6</v>
      </c>
      <c r="G26" s="208">
        <f t="shared" ref="G26" si="38">SUM(G27:G35)</f>
        <v>1269757.3999999999</v>
      </c>
      <c r="H26" s="208">
        <f t="shared" si="37"/>
        <v>241204.11</v>
      </c>
      <c r="I26" s="213">
        <f t="shared" ref="I26" si="39">SUM(I27:I35)</f>
        <v>422402.44</v>
      </c>
      <c r="J26" s="208">
        <f t="shared" si="37"/>
        <v>61567.61</v>
      </c>
      <c r="K26" s="208">
        <f t="shared" ref="K26" si="40">SUM(K27:K35)</f>
        <v>1736796</v>
      </c>
      <c r="L26" s="208">
        <f t="shared" ref="L26" si="41">SUM(L27:L35)</f>
        <v>480138.16</v>
      </c>
      <c r="M26" s="208">
        <f t="shared" ref="M26" si="42">SUM(M27:M35)</f>
        <v>891272.96</v>
      </c>
      <c r="N26" s="208">
        <f t="shared" ref="N26" si="43">SUM(N27:N35)</f>
        <v>128167.98000000001</v>
      </c>
      <c r="O26" s="208">
        <f t="shared" si="37"/>
        <v>975690.29</v>
      </c>
      <c r="P26" s="208">
        <f>SUM(P27:P35)</f>
        <v>71709.51999999999</v>
      </c>
      <c r="Q26" s="208">
        <f t="shared" si="37"/>
        <v>85325.54</v>
      </c>
      <c r="R26" s="208">
        <f t="shared" si="37"/>
        <v>232548.22999999998</v>
      </c>
      <c r="S26" s="208">
        <f>SUM(S27:S35)</f>
        <v>432727.19999999995</v>
      </c>
      <c r="T26" s="208">
        <f t="shared" ref="T26:V26" si="44">SUM(T27:T35)</f>
        <v>2613283.42</v>
      </c>
      <c r="U26" s="208">
        <f t="shared" si="44"/>
        <v>156651.66</v>
      </c>
      <c r="V26" s="208">
        <f t="shared" si="44"/>
        <v>1289645.1399999999</v>
      </c>
      <c r="W26" s="208">
        <f t="shared" si="37"/>
        <v>633988.62</v>
      </c>
      <c r="X26" s="208">
        <f t="shared" ref="X26" si="45">SUM(X27:X35)</f>
        <v>81225.59</v>
      </c>
      <c r="Y26" s="208">
        <f>SUM(Y27:Y35)</f>
        <v>101262.6</v>
      </c>
      <c r="Z26" s="208">
        <v>604189.36</v>
      </c>
      <c r="AA26" s="230">
        <f>SUM(AA27:AA35)</f>
        <v>363650</v>
      </c>
      <c r="AB26" s="238">
        <f>SUM(AB27:AB35)</f>
        <v>14576301.18</v>
      </c>
      <c r="AD26" s="147"/>
      <c r="AE26" s="147"/>
    </row>
    <row r="27" spans="1:31" x14ac:dyDescent="0.2">
      <c r="A27" s="210" t="s">
        <v>69</v>
      </c>
      <c r="B27" s="168" t="s">
        <v>70</v>
      </c>
      <c r="C27" s="211">
        <v>6267.48</v>
      </c>
      <c r="D27" s="211">
        <v>44464.63</v>
      </c>
      <c r="E27" s="211">
        <v>40129.51</v>
      </c>
      <c r="F27" s="211">
        <v>23046.639999999999</v>
      </c>
      <c r="G27" s="211">
        <v>18138.82</v>
      </c>
      <c r="H27" s="211">
        <v>39171.160000000003</v>
      </c>
      <c r="I27" s="211">
        <v>9896.86</v>
      </c>
      <c r="J27" s="211">
        <v>11260.62</v>
      </c>
      <c r="K27" s="211">
        <v>36299.25</v>
      </c>
      <c r="L27" s="211">
        <v>10902.220000000001</v>
      </c>
      <c r="M27" s="211">
        <v>22338.07</v>
      </c>
      <c r="N27" s="211">
        <v>11644.08</v>
      </c>
      <c r="O27" s="211">
        <v>52691.23</v>
      </c>
      <c r="P27" s="211">
        <v>8799.09</v>
      </c>
      <c r="Q27" s="211">
        <v>6905.7999999999993</v>
      </c>
      <c r="R27" s="211">
        <v>12913.23</v>
      </c>
      <c r="S27" s="211">
        <v>40217.82</v>
      </c>
      <c r="T27" s="211">
        <v>142024.56</v>
      </c>
      <c r="U27" s="211">
        <v>18942.96</v>
      </c>
      <c r="V27" s="212">
        <v>17973.87</v>
      </c>
      <c r="W27" s="211">
        <v>10465.799999999999</v>
      </c>
      <c r="X27" s="211">
        <v>7283.19</v>
      </c>
      <c r="Y27" s="211">
        <v>6900.87</v>
      </c>
      <c r="Z27" s="211">
        <v>6157.46</v>
      </c>
      <c r="AA27" s="231">
        <v>14250</v>
      </c>
      <c r="AB27" s="239">
        <f>SUM(C27:AA27)</f>
        <v>619085.21999999986</v>
      </c>
      <c r="AD27" s="147"/>
      <c r="AE27" s="147"/>
    </row>
    <row r="28" spans="1:31" x14ac:dyDescent="0.2">
      <c r="A28" s="210" t="s">
        <v>71</v>
      </c>
      <c r="B28" s="168" t="s">
        <v>72</v>
      </c>
      <c r="C28" s="211">
        <v>12782.88</v>
      </c>
      <c r="D28" s="211">
        <v>22387.63</v>
      </c>
      <c r="E28" s="211">
        <v>16720.099999999999</v>
      </c>
      <c r="F28" s="211">
        <v>45928.99</v>
      </c>
      <c r="G28" s="211">
        <v>98307.26</v>
      </c>
      <c r="H28" s="211">
        <v>14831.7</v>
      </c>
      <c r="I28" s="211">
        <v>5536.84</v>
      </c>
      <c r="J28" s="211">
        <v>11919</v>
      </c>
      <c r="K28" s="211">
        <v>50130.2</v>
      </c>
      <c r="L28" s="211">
        <v>8870.27</v>
      </c>
      <c r="M28" s="211">
        <v>69250.92</v>
      </c>
      <c r="N28" s="211">
        <v>13134.5</v>
      </c>
      <c r="O28" s="211">
        <v>100675.91</v>
      </c>
      <c r="P28" s="211">
        <v>6890.78</v>
      </c>
      <c r="Q28" s="211">
        <v>8396.7000000000007</v>
      </c>
      <c r="R28" s="211">
        <v>32053.18</v>
      </c>
      <c r="S28" s="211">
        <v>16548.64</v>
      </c>
      <c r="T28" s="211">
        <v>8068.79</v>
      </c>
      <c r="U28" s="211">
        <v>21842.59</v>
      </c>
      <c r="V28" s="212">
        <v>39438.01</v>
      </c>
      <c r="W28" s="211">
        <v>25497.34</v>
      </c>
      <c r="X28" s="211">
        <v>15379.53</v>
      </c>
      <c r="Y28" s="211">
        <v>2919.5</v>
      </c>
      <c r="Z28" s="211">
        <v>26166</v>
      </c>
      <c r="AA28" s="231">
        <v>16400</v>
      </c>
      <c r="AB28" s="239">
        <f t="shared" ref="AB28:AB35" si="46">SUM(C28:AA28)</f>
        <v>690077.26</v>
      </c>
      <c r="AD28" s="147"/>
      <c r="AE28" s="147"/>
    </row>
    <row r="29" spans="1:31" x14ac:dyDescent="0.2">
      <c r="A29" s="210" t="s">
        <v>73</v>
      </c>
      <c r="B29" s="168" t="s">
        <v>74</v>
      </c>
      <c r="C29" s="211">
        <v>9798.16</v>
      </c>
      <c r="D29" s="211">
        <v>118558.41</v>
      </c>
      <c r="E29" s="211">
        <v>22448.42</v>
      </c>
      <c r="F29" s="211">
        <v>56329.94</v>
      </c>
      <c r="G29" s="211">
        <v>226552.11</v>
      </c>
      <c r="H29" s="211">
        <v>1825.51</v>
      </c>
      <c r="I29" s="211">
        <v>54961.11</v>
      </c>
      <c r="J29" s="211">
        <v>6919.05</v>
      </c>
      <c r="K29" s="211">
        <v>58756.21</v>
      </c>
      <c r="L29" s="211">
        <v>25699.589999999993</v>
      </c>
      <c r="M29" s="211">
        <v>177886.26</v>
      </c>
      <c r="N29" s="211">
        <v>27938.81</v>
      </c>
      <c r="O29" s="211">
        <v>68023.77</v>
      </c>
      <c r="P29" s="211">
        <v>7132.26</v>
      </c>
      <c r="Q29" s="211">
        <v>8142.7399999999989</v>
      </c>
      <c r="R29" s="211">
        <v>12072.53</v>
      </c>
      <c r="S29" s="211">
        <v>35862.199999999997</v>
      </c>
      <c r="T29" s="211">
        <v>310357.59999999998</v>
      </c>
      <c r="U29" s="211">
        <v>37943.14</v>
      </c>
      <c r="V29" s="212">
        <v>43929.32</v>
      </c>
      <c r="W29" s="211">
        <v>24553.42</v>
      </c>
      <c r="X29" s="211">
        <v>37754.58</v>
      </c>
      <c r="Y29" s="211">
        <v>12358.99</v>
      </c>
      <c r="Z29" s="211">
        <v>27620.54</v>
      </c>
      <c r="AA29" s="231">
        <v>29000</v>
      </c>
      <c r="AB29" s="239">
        <f t="shared" si="46"/>
        <v>1442424.67</v>
      </c>
      <c r="AD29" s="147"/>
      <c r="AE29" s="147"/>
    </row>
    <row r="30" spans="1:31" x14ac:dyDescent="0.2">
      <c r="A30" s="210" t="s">
        <v>75</v>
      </c>
      <c r="B30" s="168" t="s">
        <v>76</v>
      </c>
      <c r="C30" s="211">
        <v>5051.25</v>
      </c>
      <c r="D30" s="211">
        <v>29170.95</v>
      </c>
      <c r="E30" s="211">
        <v>10810.56</v>
      </c>
      <c r="F30" s="211">
        <v>18143.219999999998</v>
      </c>
      <c r="G30" s="211">
        <v>38977.839999999997</v>
      </c>
      <c r="H30" s="211">
        <v>15695.89</v>
      </c>
      <c r="I30" s="211">
        <v>18858.66</v>
      </c>
      <c r="J30" s="211">
        <v>5134.0600000000004</v>
      </c>
      <c r="K30" s="211">
        <v>33789.120000000003</v>
      </c>
      <c r="L30" s="211">
        <v>4727.53</v>
      </c>
      <c r="M30" s="211">
        <v>29795.599999999999</v>
      </c>
      <c r="N30" s="211">
        <v>7845.76</v>
      </c>
      <c r="O30" s="211">
        <v>17638.45</v>
      </c>
      <c r="P30" s="211">
        <v>3345.96</v>
      </c>
      <c r="Q30" s="211">
        <v>10120.36</v>
      </c>
      <c r="R30" s="211">
        <v>10240.89</v>
      </c>
      <c r="S30" s="211">
        <v>33948.959999999999</v>
      </c>
      <c r="T30" s="211">
        <v>68368.58</v>
      </c>
      <c r="U30" s="211">
        <v>12689.69</v>
      </c>
      <c r="V30" s="212">
        <v>29329</v>
      </c>
      <c r="W30" s="211">
        <v>18104.849999999999</v>
      </c>
      <c r="X30" s="211">
        <v>3986.28</v>
      </c>
      <c r="Y30" s="211">
        <v>3324.93</v>
      </c>
      <c r="Z30" s="211">
        <v>7713.71</v>
      </c>
      <c r="AA30" s="231">
        <v>15000</v>
      </c>
      <c r="AB30" s="239">
        <f t="shared" si="46"/>
        <v>451812.10000000009</v>
      </c>
      <c r="AD30" s="147"/>
      <c r="AE30" s="147"/>
    </row>
    <row r="31" spans="1:31" x14ac:dyDescent="0.2">
      <c r="A31" s="210" t="s">
        <v>77</v>
      </c>
      <c r="B31" s="168" t="s">
        <v>78</v>
      </c>
      <c r="C31" s="211"/>
      <c r="D31" s="211">
        <v>0</v>
      </c>
      <c r="E31" s="211">
        <v>0</v>
      </c>
      <c r="F31" s="211">
        <v>0</v>
      </c>
      <c r="G31" s="211"/>
      <c r="H31" s="211">
        <v>0</v>
      </c>
      <c r="I31" s="211"/>
      <c r="J31" s="211">
        <v>0</v>
      </c>
      <c r="K31" s="211">
        <v>0</v>
      </c>
      <c r="L31" s="211">
        <v>0</v>
      </c>
      <c r="M31" s="211">
        <v>0</v>
      </c>
      <c r="N31" s="211"/>
      <c r="O31" s="211">
        <v>0</v>
      </c>
      <c r="P31" s="211">
        <v>2077.29</v>
      </c>
      <c r="Q31" s="211">
        <v>0</v>
      </c>
      <c r="R31" s="211">
        <v>2679.18</v>
      </c>
      <c r="S31" s="211">
        <v>826.78</v>
      </c>
      <c r="T31" s="211">
        <v>54869.27</v>
      </c>
      <c r="U31" s="211"/>
      <c r="V31" s="212">
        <v>245501.46</v>
      </c>
      <c r="W31" s="211">
        <v>0</v>
      </c>
      <c r="X31" s="211"/>
      <c r="Y31" s="211"/>
      <c r="Z31" s="211">
        <v>0</v>
      </c>
      <c r="AA31" s="231">
        <v>1000</v>
      </c>
      <c r="AB31" s="239">
        <f t="shared" si="46"/>
        <v>306953.98</v>
      </c>
      <c r="AD31" s="147"/>
      <c r="AE31" s="147"/>
    </row>
    <row r="32" spans="1:31" x14ac:dyDescent="0.2">
      <c r="A32" s="210" t="s">
        <v>79</v>
      </c>
      <c r="B32" s="168" t="s">
        <v>80</v>
      </c>
      <c r="C32" s="211">
        <v>1100</v>
      </c>
      <c r="D32" s="211">
        <v>15062.29</v>
      </c>
      <c r="E32" s="211">
        <v>4307.8500000000004</v>
      </c>
      <c r="F32" s="211">
        <v>6293.579999999999</v>
      </c>
      <c r="G32" s="211">
        <v>371664.48</v>
      </c>
      <c r="H32" s="211">
        <v>22752.18</v>
      </c>
      <c r="I32" s="211">
        <v>3025</v>
      </c>
      <c r="J32" s="211">
        <v>5687.93</v>
      </c>
      <c r="K32" s="211">
        <v>44297.83</v>
      </c>
      <c r="L32" s="211">
        <v>1004.93</v>
      </c>
      <c r="M32" s="211">
        <v>13090.92</v>
      </c>
      <c r="N32" s="211">
        <v>416.68</v>
      </c>
      <c r="O32" s="211">
        <v>1043.07</v>
      </c>
      <c r="P32" s="211">
        <v>0</v>
      </c>
      <c r="Q32" s="211">
        <v>3500.11</v>
      </c>
      <c r="R32" s="211">
        <v>380.26</v>
      </c>
      <c r="S32" s="211">
        <v>28170.47</v>
      </c>
      <c r="T32" s="211">
        <v>60052.98</v>
      </c>
      <c r="U32" s="211">
        <v>5000</v>
      </c>
      <c r="V32" s="212">
        <v>155.80000000000001</v>
      </c>
      <c r="W32" s="211">
        <v>5025</v>
      </c>
      <c r="X32" s="211">
        <v>1142.1199999999999</v>
      </c>
      <c r="Y32" s="211">
        <v>9666.94</v>
      </c>
      <c r="Z32" s="211">
        <v>24804.69</v>
      </c>
      <c r="AA32" s="231">
        <v>6500</v>
      </c>
      <c r="AB32" s="239">
        <f t="shared" si="46"/>
        <v>634145.10999999987</v>
      </c>
      <c r="AD32" s="147"/>
      <c r="AE32" s="147"/>
    </row>
    <row r="33" spans="1:31" x14ac:dyDescent="0.2">
      <c r="A33" s="210" t="s">
        <v>81</v>
      </c>
      <c r="B33" s="168" t="s">
        <v>82</v>
      </c>
      <c r="C33" s="211">
        <v>4000.3</v>
      </c>
      <c r="D33" s="211">
        <v>136617.67000000001</v>
      </c>
      <c r="E33" s="211">
        <v>382566.62</v>
      </c>
      <c r="F33" s="211">
        <v>0</v>
      </c>
      <c r="G33" s="211"/>
      <c r="H33" s="211">
        <v>32478</v>
      </c>
      <c r="I33" s="211">
        <v>97209.5</v>
      </c>
      <c r="J33" s="211">
        <v>20269</v>
      </c>
      <c r="K33" s="211">
        <v>69397.91</v>
      </c>
      <c r="L33" s="211">
        <v>390511.88</v>
      </c>
      <c r="M33" s="211">
        <v>115508.65</v>
      </c>
      <c r="N33" s="211">
        <v>32360.15</v>
      </c>
      <c r="O33" s="211">
        <v>71252.429999999993</v>
      </c>
      <c r="P33" s="211">
        <v>23456.5</v>
      </c>
      <c r="Q33" s="211">
        <v>1266.0999999999999</v>
      </c>
      <c r="R33" s="211">
        <v>85935.29</v>
      </c>
      <c r="S33" s="211">
        <v>54978.93</v>
      </c>
      <c r="T33" s="211">
        <v>78286.03</v>
      </c>
      <c r="U33" s="211">
        <v>38000</v>
      </c>
      <c r="V33" s="212">
        <v>14439.29</v>
      </c>
      <c r="W33" s="211">
        <v>333905.56</v>
      </c>
      <c r="X33" s="211">
        <v>14779.89</v>
      </c>
      <c r="Y33" s="211">
        <v>28201.07</v>
      </c>
      <c r="Z33" s="211">
        <v>0</v>
      </c>
      <c r="AA33" s="231">
        <v>93000</v>
      </c>
      <c r="AB33" s="239">
        <f t="shared" si="46"/>
        <v>2118420.7699999996</v>
      </c>
      <c r="AD33" s="147"/>
      <c r="AE33" s="147"/>
    </row>
    <row r="34" spans="1:31" x14ac:dyDescent="0.2">
      <c r="A34" s="210" t="s">
        <v>83</v>
      </c>
      <c r="B34" s="168" t="s">
        <v>84</v>
      </c>
      <c r="C34" s="211">
        <v>464.1</v>
      </c>
      <c r="D34" s="211">
        <v>3580</v>
      </c>
      <c r="E34" s="211">
        <v>0</v>
      </c>
      <c r="F34" s="211">
        <v>6285.23</v>
      </c>
      <c r="G34" s="211">
        <v>9499.44</v>
      </c>
      <c r="H34" s="211">
        <v>440</v>
      </c>
      <c r="I34" s="211">
        <v>0</v>
      </c>
      <c r="J34" s="211">
        <v>0</v>
      </c>
      <c r="K34" s="211">
        <v>4070.65</v>
      </c>
      <c r="L34" s="211">
        <v>861.66000000000008</v>
      </c>
      <c r="M34" s="211">
        <v>5148.47</v>
      </c>
      <c r="N34" s="211">
        <v>654.1</v>
      </c>
      <c r="O34" s="211">
        <v>22299.95</v>
      </c>
      <c r="P34" s="211">
        <v>0</v>
      </c>
      <c r="Q34" s="211">
        <v>315.3</v>
      </c>
      <c r="R34" s="211">
        <v>0</v>
      </c>
      <c r="S34" s="211">
        <v>8544.82</v>
      </c>
      <c r="T34" s="211">
        <v>12531.35</v>
      </c>
      <c r="U34" s="211">
        <v>75.400000000000006</v>
      </c>
      <c r="V34" s="212">
        <v>1256.8</v>
      </c>
      <c r="W34" s="211">
        <v>647.5</v>
      </c>
      <c r="X34" s="211">
        <v>900</v>
      </c>
      <c r="Y34" s="211"/>
      <c r="Z34" s="211">
        <v>1389.3</v>
      </c>
      <c r="AA34" s="231">
        <v>12300</v>
      </c>
      <c r="AB34" s="239">
        <f t="shared" si="46"/>
        <v>91264.07</v>
      </c>
      <c r="AD34" s="147"/>
      <c r="AE34" s="147"/>
    </row>
    <row r="35" spans="1:31" x14ac:dyDescent="0.2">
      <c r="A35" s="210" t="s">
        <v>85</v>
      </c>
      <c r="B35" s="168" t="s">
        <v>86</v>
      </c>
      <c r="C35" s="211">
        <v>13117.34</v>
      </c>
      <c r="D35" s="211">
        <v>315347.62</v>
      </c>
      <c r="E35" s="211">
        <v>60506.98</v>
      </c>
      <c r="F35" s="211">
        <v>271809</v>
      </c>
      <c r="G35" s="211">
        <v>506617.45</v>
      </c>
      <c r="H35" s="211">
        <v>114009.67</v>
      </c>
      <c r="I35" s="211">
        <v>232914.47</v>
      </c>
      <c r="J35" s="211">
        <v>377.95</v>
      </c>
      <c r="K35" s="211">
        <v>1440054.83</v>
      </c>
      <c r="L35" s="211">
        <v>37560.080000000002</v>
      </c>
      <c r="M35" s="211">
        <v>458254.07</v>
      </c>
      <c r="N35" s="211">
        <v>34173.9</v>
      </c>
      <c r="O35" s="211">
        <v>642065.48</v>
      </c>
      <c r="P35" s="211">
        <v>20007.64</v>
      </c>
      <c r="Q35" s="211">
        <v>46678.429999999993</v>
      </c>
      <c r="R35" s="211">
        <v>76273.67</v>
      </c>
      <c r="S35" s="211">
        <v>213628.58</v>
      </c>
      <c r="T35" s="211">
        <v>1878724.26</v>
      </c>
      <c r="U35" s="211">
        <v>22157.88</v>
      </c>
      <c r="V35" s="212">
        <v>897621.59</v>
      </c>
      <c r="W35" s="211">
        <v>215789.15</v>
      </c>
      <c r="X35" s="211"/>
      <c r="Y35" s="211">
        <v>37890.300000000003</v>
      </c>
      <c r="Z35" s="211">
        <v>510337.66</v>
      </c>
      <c r="AA35" s="231">
        <v>176200</v>
      </c>
      <c r="AB35" s="239">
        <f t="shared" si="46"/>
        <v>8222118</v>
      </c>
      <c r="AD35" s="147"/>
      <c r="AE35" s="147"/>
    </row>
    <row r="36" spans="1:31" x14ac:dyDescent="0.2">
      <c r="A36" s="207">
        <v>415</v>
      </c>
      <c r="B36" s="163" t="s">
        <v>87</v>
      </c>
      <c r="C36" s="208">
        <f t="shared" ref="C36" si="47">SUM(C37:C40)</f>
        <v>263128.08</v>
      </c>
      <c r="D36" s="208">
        <f t="shared" ref="D36:E36" si="48">SUM(D37:D40)</f>
        <v>321651.53000000003</v>
      </c>
      <c r="E36" s="208">
        <f t="shared" si="48"/>
        <v>34091.22</v>
      </c>
      <c r="F36" s="208">
        <f t="shared" ref="F36:W36" si="49">SUM(F37:F40)</f>
        <v>121033.53</v>
      </c>
      <c r="G36" s="208">
        <f t="shared" ref="G36" si="50">SUM(G37:G40)</f>
        <v>1683519.0699999998</v>
      </c>
      <c r="H36" s="208">
        <f t="shared" si="49"/>
        <v>876492.87</v>
      </c>
      <c r="I36" s="213">
        <f t="shared" ref="I36" si="51">SUM(I37:I40)</f>
        <v>768790.21000000008</v>
      </c>
      <c r="J36" s="208">
        <f t="shared" si="49"/>
        <v>24345.759999999998</v>
      </c>
      <c r="K36" s="208">
        <f t="shared" ref="K36" si="52">SUM(K37:K40)</f>
        <v>219218.95</v>
      </c>
      <c r="L36" s="208">
        <f t="shared" ref="L36" si="53">SUM(L37:L40)</f>
        <v>281630.57</v>
      </c>
      <c r="M36" s="208">
        <f t="shared" ref="M36" si="54">SUM(M37:M40)</f>
        <v>331691.26</v>
      </c>
      <c r="N36" s="208">
        <f t="shared" ref="N36" si="55">SUM(N37:N40)</f>
        <v>17730.009999999998</v>
      </c>
      <c r="O36" s="208">
        <f t="shared" si="49"/>
        <v>105258.88</v>
      </c>
      <c r="P36" s="208">
        <f t="shared" ref="P36" si="56">SUM(P37:P40)</f>
        <v>34208.39</v>
      </c>
      <c r="Q36" s="208">
        <f t="shared" si="49"/>
        <v>14679.500000000002</v>
      </c>
      <c r="R36" s="208">
        <f t="shared" si="49"/>
        <v>150859.03999999998</v>
      </c>
      <c r="S36" s="208">
        <f>SUM(S37:S40)</f>
        <v>1452699.89</v>
      </c>
      <c r="T36" s="208">
        <f t="shared" ref="T36:V36" si="57">SUM(T37:T40)</f>
        <v>726747.54999999993</v>
      </c>
      <c r="U36" s="208">
        <f t="shared" si="57"/>
        <v>41762.1</v>
      </c>
      <c r="V36" s="208">
        <f t="shared" si="57"/>
        <v>77380.95</v>
      </c>
      <c r="W36" s="208">
        <f t="shared" si="49"/>
        <v>556236.00999999989</v>
      </c>
      <c r="X36" s="208">
        <f t="shared" ref="X36" si="58">SUM(X37:X40)</f>
        <v>67226.179999999993</v>
      </c>
      <c r="Y36" s="208">
        <f>SUM(Y37:Y40)</f>
        <v>42721.600000000006</v>
      </c>
      <c r="Z36" s="208">
        <v>34758.6</v>
      </c>
      <c r="AA36" s="230">
        <f>SUM(AA37:AA40)</f>
        <v>543000</v>
      </c>
      <c r="AB36" s="238">
        <f>SUM(AB37:AB40)</f>
        <v>8790861.75</v>
      </c>
      <c r="AD36" s="147"/>
      <c r="AE36" s="147"/>
    </row>
    <row r="37" spans="1:31" x14ac:dyDescent="0.2">
      <c r="A37" s="210" t="s">
        <v>88</v>
      </c>
      <c r="B37" s="168" t="s">
        <v>89</v>
      </c>
      <c r="C37" s="214">
        <v>251488.03</v>
      </c>
      <c r="D37" s="214">
        <v>53333.13</v>
      </c>
      <c r="E37" s="214"/>
      <c r="F37" s="214">
        <v>0</v>
      </c>
      <c r="G37" s="214">
        <v>1580568.9</v>
      </c>
      <c r="H37" s="214">
        <v>851169.19</v>
      </c>
      <c r="I37" s="211">
        <v>740148.43</v>
      </c>
      <c r="J37" s="214">
        <v>23650.1</v>
      </c>
      <c r="K37" s="214">
        <v>33078.44</v>
      </c>
      <c r="L37" s="214">
        <v>169091.5</v>
      </c>
      <c r="M37" s="214">
        <v>71991.850000000006</v>
      </c>
      <c r="N37" s="214"/>
      <c r="O37" s="214"/>
      <c r="P37" s="214">
        <v>21520.39</v>
      </c>
      <c r="Q37" s="214">
        <v>3630</v>
      </c>
      <c r="R37" s="214">
        <v>81354.12</v>
      </c>
      <c r="S37" s="214">
        <v>1388906.34</v>
      </c>
      <c r="T37" s="214">
        <v>249792.91</v>
      </c>
      <c r="U37" s="214">
        <v>14151.24</v>
      </c>
      <c r="V37" s="214">
        <v>0</v>
      </c>
      <c r="W37" s="214">
        <v>520476.54</v>
      </c>
      <c r="X37" s="214">
        <v>27385.93</v>
      </c>
      <c r="Y37" s="214"/>
      <c r="Z37" s="214">
        <v>0</v>
      </c>
      <c r="AA37" s="231">
        <v>470000</v>
      </c>
      <c r="AB37" s="239">
        <f>SUM(C37:AA37)</f>
        <v>6551737.040000001</v>
      </c>
      <c r="AD37" s="147"/>
      <c r="AE37" s="147"/>
    </row>
    <row r="38" spans="1:31" x14ac:dyDescent="0.2">
      <c r="A38" s="210" t="s">
        <v>90</v>
      </c>
      <c r="B38" s="168" t="s">
        <v>91</v>
      </c>
      <c r="C38" s="214">
        <v>638.34</v>
      </c>
      <c r="D38" s="214">
        <v>205620.76</v>
      </c>
      <c r="E38" s="214"/>
      <c r="F38" s="214">
        <v>39766.409999999996</v>
      </c>
      <c r="G38" s="214">
        <v>86912</v>
      </c>
      <c r="H38" s="214">
        <v>10354.25</v>
      </c>
      <c r="I38" s="211">
        <v>10040.959999999999</v>
      </c>
      <c r="J38" s="214">
        <v>0</v>
      </c>
      <c r="K38" s="214">
        <v>0</v>
      </c>
      <c r="L38" s="214">
        <v>82836.63</v>
      </c>
      <c r="M38" s="214">
        <v>171604.64</v>
      </c>
      <c r="N38" s="214">
        <v>1228.8499999999999</v>
      </c>
      <c r="O38" s="214">
        <v>23321.81</v>
      </c>
      <c r="P38" s="214">
        <v>1994.46</v>
      </c>
      <c r="Q38" s="214">
        <v>308.94</v>
      </c>
      <c r="R38" s="214">
        <v>7660.53</v>
      </c>
      <c r="S38" s="214">
        <v>16621.52</v>
      </c>
      <c r="T38" s="214">
        <v>306218.90999999997</v>
      </c>
      <c r="U38" s="214"/>
      <c r="V38" s="212">
        <v>33179.67</v>
      </c>
      <c r="W38" s="214">
        <v>14201.38</v>
      </c>
      <c r="X38" s="214">
        <v>18393.28</v>
      </c>
      <c r="Y38" s="214">
        <v>597.87</v>
      </c>
      <c r="Z38" s="214">
        <v>3730.1</v>
      </c>
      <c r="AA38" s="231">
        <v>37000</v>
      </c>
      <c r="AB38" s="239">
        <f t="shared" ref="AB38:AB40" si="59">SUM(C38:AA38)</f>
        <v>1072231.31</v>
      </c>
      <c r="AD38" s="147"/>
      <c r="AE38" s="147"/>
    </row>
    <row r="39" spans="1:31" x14ac:dyDescent="0.2">
      <c r="A39" s="210" t="s">
        <v>92</v>
      </c>
      <c r="B39" s="168" t="s">
        <v>93</v>
      </c>
      <c r="C39" s="211">
        <v>11001.71</v>
      </c>
      <c r="D39" s="211">
        <v>62697.64</v>
      </c>
      <c r="E39" s="211">
        <v>34091.22</v>
      </c>
      <c r="F39" s="211">
        <v>81267.12000000001</v>
      </c>
      <c r="G39" s="211">
        <v>16038.17</v>
      </c>
      <c r="H39" s="211">
        <v>14969.43</v>
      </c>
      <c r="I39" s="211">
        <v>4540.91</v>
      </c>
      <c r="J39" s="211">
        <v>695.66</v>
      </c>
      <c r="K39" s="211">
        <v>186140.51</v>
      </c>
      <c r="L39" s="211">
        <v>29702.440000000002</v>
      </c>
      <c r="M39" s="211">
        <v>88094.77</v>
      </c>
      <c r="N39" s="211">
        <v>16501.16</v>
      </c>
      <c r="O39" s="211">
        <v>81937.070000000007</v>
      </c>
      <c r="P39" s="211">
        <v>10693.54</v>
      </c>
      <c r="Q39" s="211">
        <v>10740.560000000001</v>
      </c>
      <c r="R39" s="211">
        <v>61844.39</v>
      </c>
      <c r="S39" s="211">
        <v>45196.63</v>
      </c>
      <c r="T39" s="211">
        <v>109113.46</v>
      </c>
      <c r="U39" s="211">
        <v>5483.65</v>
      </c>
      <c r="V39" s="212">
        <v>44201.279999999999</v>
      </c>
      <c r="W39" s="211">
        <v>21558.09</v>
      </c>
      <c r="X39" s="211">
        <v>21446.97</v>
      </c>
      <c r="Y39" s="211">
        <v>1114.82</v>
      </c>
      <c r="Z39" s="211">
        <v>31028.5</v>
      </c>
      <c r="AA39" s="231">
        <v>6500</v>
      </c>
      <c r="AB39" s="239">
        <f t="shared" si="59"/>
        <v>996599.70000000007</v>
      </c>
      <c r="AD39" s="147"/>
      <c r="AE39" s="147"/>
    </row>
    <row r="40" spans="1:31" x14ac:dyDescent="0.2">
      <c r="A40" s="210" t="s">
        <v>94</v>
      </c>
      <c r="B40" s="168" t="s">
        <v>95</v>
      </c>
      <c r="C40" s="214"/>
      <c r="D40" s="214"/>
      <c r="E40" s="214"/>
      <c r="F40" s="214"/>
      <c r="G40" s="214"/>
      <c r="H40" s="214"/>
      <c r="I40" s="211">
        <v>14059.91</v>
      </c>
      <c r="J40" s="214"/>
      <c r="K40" s="214"/>
      <c r="L40" s="214">
        <v>0</v>
      </c>
      <c r="M40" s="214"/>
      <c r="N40" s="214"/>
      <c r="O40" s="214"/>
      <c r="P40" s="214"/>
      <c r="Q40" s="214"/>
      <c r="R40" s="214"/>
      <c r="S40" s="214">
        <v>1975.4</v>
      </c>
      <c r="T40" s="214">
        <v>61622.27</v>
      </c>
      <c r="U40" s="214">
        <v>22127.21</v>
      </c>
      <c r="V40" s="214">
        <v>0</v>
      </c>
      <c r="W40" s="214"/>
      <c r="X40" s="214"/>
      <c r="Y40" s="214">
        <v>41008.910000000003</v>
      </c>
      <c r="Z40" s="214">
        <v>0</v>
      </c>
      <c r="AA40" s="231">
        <v>29500</v>
      </c>
      <c r="AB40" s="239">
        <f t="shared" si="59"/>
        <v>170293.7</v>
      </c>
      <c r="AD40" s="147"/>
      <c r="AE40" s="147"/>
    </row>
    <row r="41" spans="1:31" x14ac:dyDescent="0.2">
      <c r="A41" s="207">
        <v>416</v>
      </c>
      <c r="B41" s="163" t="s">
        <v>96</v>
      </c>
      <c r="C41" s="208">
        <f t="shared" ref="C41" si="60">SUM(C42:C43)</f>
        <v>10349.629999999999</v>
      </c>
      <c r="D41" s="208">
        <f t="shared" ref="D41:E41" si="61">SUM(D42:D43)</f>
        <v>0</v>
      </c>
      <c r="E41" s="208">
        <f t="shared" si="61"/>
        <v>18135.03</v>
      </c>
      <c r="F41" s="208">
        <f t="shared" ref="F41:W41" si="62">SUM(F42:F43)</f>
        <v>366855.72000000003</v>
      </c>
      <c r="G41" s="208">
        <f t="shared" ref="G41" si="63">SUM(G42:G43)</f>
        <v>0</v>
      </c>
      <c r="H41" s="208">
        <f t="shared" si="62"/>
        <v>134803.82</v>
      </c>
      <c r="I41" s="213">
        <f t="shared" ref="I41" si="64">SUM(I42:I43)</f>
        <v>59368.35</v>
      </c>
      <c r="J41" s="208">
        <f t="shared" si="62"/>
        <v>0</v>
      </c>
      <c r="K41" s="208">
        <f t="shared" ref="K41" si="65">SUM(K42:K43)</f>
        <v>6196.73</v>
      </c>
      <c r="L41" s="208">
        <f t="shared" ref="L41" si="66">SUM(L42:L43)</f>
        <v>161849.1</v>
      </c>
      <c r="M41" s="208">
        <f t="shared" ref="M41" si="67">SUM(M42:M43)</f>
        <v>12930.04</v>
      </c>
      <c r="N41" s="208">
        <f t="shared" ref="N41" si="68">SUM(N42:N43)</f>
        <v>0</v>
      </c>
      <c r="O41" s="208">
        <f t="shared" si="62"/>
        <v>254543.81</v>
      </c>
      <c r="P41" s="208">
        <f t="shared" ref="P41" si="69">SUM(P42:P43)</f>
        <v>0</v>
      </c>
      <c r="Q41" s="208">
        <f t="shared" si="62"/>
        <v>34174.46</v>
      </c>
      <c r="R41" s="208">
        <f t="shared" si="62"/>
        <v>0</v>
      </c>
      <c r="S41" s="208">
        <f>SUM(S42:S43)</f>
        <v>65870.75</v>
      </c>
      <c r="T41" s="208">
        <f t="shared" ref="T41:V41" si="70">SUM(T42:T43)</f>
        <v>753357.98</v>
      </c>
      <c r="U41" s="208">
        <f t="shared" si="70"/>
        <v>47238.71</v>
      </c>
      <c r="V41" s="208">
        <f t="shared" si="70"/>
        <v>125034.42</v>
      </c>
      <c r="W41" s="208">
        <f t="shared" si="62"/>
        <v>102600.52</v>
      </c>
      <c r="X41" s="208">
        <f t="shared" ref="X41:Y41" si="71">SUM(X42:X43)</f>
        <v>0</v>
      </c>
      <c r="Y41" s="208">
        <f t="shared" si="71"/>
        <v>0</v>
      </c>
      <c r="Z41" s="208">
        <v>0</v>
      </c>
      <c r="AA41" s="230">
        <f>SUM(AA42:AA43)</f>
        <v>0</v>
      </c>
      <c r="AB41" s="238">
        <f>SUM(AB42:AB43)</f>
        <v>2153309.0699999998</v>
      </c>
      <c r="AD41" s="147"/>
      <c r="AE41" s="147"/>
    </row>
    <row r="42" spans="1:31" x14ac:dyDescent="0.2">
      <c r="A42" s="210" t="s">
        <v>97</v>
      </c>
      <c r="B42" s="168" t="s">
        <v>98</v>
      </c>
      <c r="C42" s="211">
        <v>10349.629999999999</v>
      </c>
      <c r="D42" s="211"/>
      <c r="E42" s="211">
        <v>18135.03</v>
      </c>
      <c r="F42" s="211">
        <v>366855.72000000003</v>
      </c>
      <c r="G42" s="211"/>
      <c r="H42" s="211">
        <v>134803.82</v>
      </c>
      <c r="I42" s="211">
        <v>59368.35</v>
      </c>
      <c r="J42" s="211"/>
      <c r="K42" s="211">
        <v>6196.73</v>
      </c>
      <c r="L42" s="211">
        <v>161849.1</v>
      </c>
      <c r="M42" s="211"/>
      <c r="N42" s="211"/>
      <c r="O42" s="211"/>
      <c r="P42" s="211"/>
      <c r="Q42" s="211">
        <v>34174.46</v>
      </c>
      <c r="R42" s="211"/>
      <c r="S42" s="211">
        <v>0</v>
      </c>
      <c r="T42" s="211">
        <v>338887.37</v>
      </c>
      <c r="U42" s="211">
        <v>47238.71</v>
      </c>
      <c r="V42" s="212">
        <v>125034.42</v>
      </c>
      <c r="W42" s="211">
        <v>28181.5</v>
      </c>
      <c r="X42" s="211"/>
      <c r="Y42" s="211"/>
      <c r="Z42" s="211">
        <v>0</v>
      </c>
      <c r="AA42" s="231"/>
      <c r="AB42" s="239">
        <f>SUM(C42:AA42)</f>
        <v>1331074.8399999999</v>
      </c>
      <c r="AD42" s="147"/>
      <c r="AE42" s="147"/>
    </row>
    <row r="43" spans="1:31" x14ac:dyDescent="0.2">
      <c r="A43" s="210" t="s">
        <v>99</v>
      </c>
      <c r="B43" s="168" t="s">
        <v>100</v>
      </c>
      <c r="C43" s="214"/>
      <c r="D43" s="214"/>
      <c r="E43" s="214"/>
      <c r="F43" s="214"/>
      <c r="G43" s="214"/>
      <c r="H43" s="214"/>
      <c r="I43" s="211"/>
      <c r="J43" s="214"/>
      <c r="K43" s="214"/>
      <c r="L43" s="214">
        <v>0</v>
      </c>
      <c r="M43" s="214">
        <v>12930.04</v>
      </c>
      <c r="N43" s="214"/>
      <c r="O43" s="214">
        <v>254543.81</v>
      </c>
      <c r="P43" s="214"/>
      <c r="Q43" s="214"/>
      <c r="R43" s="214"/>
      <c r="S43" s="214">
        <v>65870.75</v>
      </c>
      <c r="T43" s="214">
        <v>414470.61</v>
      </c>
      <c r="U43" s="214"/>
      <c r="V43" s="214">
        <v>0</v>
      </c>
      <c r="W43" s="214">
        <v>74419.02</v>
      </c>
      <c r="X43" s="214"/>
      <c r="Y43" s="214"/>
      <c r="Z43" s="214">
        <v>0</v>
      </c>
      <c r="AA43" s="231"/>
      <c r="AB43" s="239">
        <f>SUM(C43:AA43)</f>
        <v>822234.23</v>
      </c>
      <c r="AD43" s="147"/>
      <c r="AE43" s="147"/>
    </row>
    <row r="44" spans="1:31" x14ac:dyDescent="0.2">
      <c r="A44" s="207">
        <v>417</v>
      </c>
      <c r="B44" s="163" t="s">
        <v>101</v>
      </c>
      <c r="C44" s="208">
        <f t="shared" ref="C44" si="72">SUM(C45:C47)</f>
        <v>6350</v>
      </c>
      <c r="D44" s="208">
        <f>SUM(D45:D47)</f>
        <v>12115.7</v>
      </c>
      <c r="E44" s="208">
        <f t="shared" ref="E44" si="73">SUM(E45:E47)</f>
        <v>2122.02</v>
      </c>
      <c r="F44" s="208">
        <f t="shared" ref="F44:W44" si="74">SUM(F45:F47)</f>
        <v>0</v>
      </c>
      <c r="G44" s="208">
        <f t="shared" ref="G44" si="75">SUM(G45:G47)</f>
        <v>153494.57999999999</v>
      </c>
      <c r="H44" s="208">
        <f t="shared" si="74"/>
        <v>63726.81</v>
      </c>
      <c r="I44" s="213">
        <f t="shared" ref="I44" si="76">SUM(I45:I47)</f>
        <v>10165.129999999999</v>
      </c>
      <c r="J44" s="208">
        <f t="shared" si="74"/>
        <v>0</v>
      </c>
      <c r="K44" s="208">
        <f t="shared" ref="K44" si="77">SUM(K45:K47)</f>
        <v>25036.11</v>
      </c>
      <c r="L44" s="208">
        <f t="shared" ref="L44" si="78">SUM(L45:L47)</f>
        <v>0</v>
      </c>
      <c r="M44" s="208">
        <f t="shared" ref="M44" si="79">SUM(M45:M47)</f>
        <v>0</v>
      </c>
      <c r="N44" s="208">
        <f t="shared" ref="N44" si="80">SUM(N45:N47)</f>
        <v>0</v>
      </c>
      <c r="O44" s="208">
        <f t="shared" si="74"/>
        <v>155899.15</v>
      </c>
      <c r="P44" s="208">
        <f t="shared" ref="P44" si="81">SUM(P45:P47)</f>
        <v>3750</v>
      </c>
      <c r="Q44" s="208">
        <f t="shared" si="74"/>
        <v>0</v>
      </c>
      <c r="R44" s="208">
        <f t="shared" si="74"/>
        <v>36021.050000000003</v>
      </c>
      <c r="S44" s="208">
        <f>SUM(S45:S47)</f>
        <v>94485.94</v>
      </c>
      <c r="T44" s="208">
        <f t="shared" ref="T44:V44" si="82">SUM(T45:T47)</f>
        <v>50450.73</v>
      </c>
      <c r="U44" s="208">
        <f t="shared" si="82"/>
        <v>0</v>
      </c>
      <c r="V44" s="208">
        <f t="shared" si="82"/>
        <v>7767.24</v>
      </c>
      <c r="W44" s="208">
        <f t="shared" si="74"/>
        <v>37639.03</v>
      </c>
      <c r="X44" s="208">
        <f t="shared" ref="X44:Y44" si="83">SUM(X45:X47)</f>
        <v>6064.08</v>
      </c>
      <c r="Y44" s="208">
        <f t="shared" si="83"/>
        <v>0</v>
      </c>
      <c r="Z44" s="208">
        <v>38054.14</v>
      </c>
      <c r="AA44" s="230">
        <f>SUM(AA45:AA47)</f>
        <v>47000</v>
      </c>
      <c r="AB44" s="238">
        <f>SUM(AB45:AB47)</f>
        <v>750141.71</v>
      </c>
      <c r="AD44" s="147"/>
      <c r="AE44" s="147"/>
    </row>
    <row r="45" spans="1:31" x14ac:dyDescent="0.2">
      <c r="A45" s="210" t="s">
        <v>102</v>
      </c>
      <c r="B45" s="168" t="s">
        <v>103</v>
      </c>
      <c r="C45" s="211">
        <v>6350</v>
      </c>
      <c r="D45" s="211"/>
      <c r="E45" s="211">
        <v>2122.02</v>
      </c>
      <c r="F45" s="211"/>
      <c r="G45" s="211">
        <v>153494.57999999999</v>
      </c>
      <c r="H45" s="211">
        <v>57591.33</v>
      </c>
      <c r="I45" s="211">
        <v>10165.129999999999</v>
      </c>
      <c r="J45" s="211"/>
      <c r="K45" s="211">
        <v>25036.11</v>
      </c>
      <c r="L45" s="211">
        <v>0</v>
      </c>
      <c r="M45" s="211"/>
      <c r="N45" s="211"/>
      <c r="O45" s="211">
        <v>108795.26</v>
      </c>
      <c r="P45" s="211">
        <v>3750</v>
      </c>
      <c r="Q45" s="211"/>
      <c r="R45" s="211">
        <v>10000</v>
      </c>
      <c r="S45" s="211">
        <v>94485.94</v>
      </c>
      <c r="T45" s="211">
        <v>49906.23</v>
      </c>
      <c r="U45" s="211"/>
      <c r="V45" s="212">
        <v>3000</v>
      </c>
      <c r="W45" s="211">
        <v>23809.52</v>
      </c>
      <c r="X45" s="211">
        <v>6064.08</v>
      </c>
      <c r="Y45" s="211"/>
      <c r="Z45" s="211">
        <v>38054.14</v>
      </c>
      <c r="AA45" s="231">
        <v>32000</v>
      </c>
      <c r="AB45" s="239">
        <f>SUM(C45:AA45)</f>
        <v>624624.34</v>
      </c>
      <c r="AD45" s="147"/>
      <c r="AE45" s="147"/>
    </row>
    <row r="46" spans="1:31" x14ac:dyDescent="0.2">
      <c r="A46" s="210" t="s">
        <v>104</v>
      </c>
      <c r="B46" s="168" t="s">
        <v>105</v>
      </c>
      <c r="C46" s="214"/>
      <c r="D46" s="214"/>
      <c r="E46" s="214"/>
      <c r="F46" s="214"/>
      <c r="G46" s="214"/>
      <c r="H46" s="214">
        <v>0</v>
      </c>
      <c r="I46" s="211"/>
      <c r="J46" s="214"/>
      <c r="K46" s="214"/>
      <c r="L46" s="214">
        <v>0</v>
      </c>
      <c r="M46" s="214"/>
      <c r="N46" s="214"/>
      <c r="O46" s="214">
        <v>0</v>
      </c>
      <c r="P46" s="214"/>
      <c r="Q46" s="214"/>
      <c r="R46" s="214">
        <v>26021.05</v>
      </c>
      <c r="S46" s="214">
        <v>0</v>
      </c>
      <c r="T46" s="214">
        <v>544.5</v>
      </c>
      <c r="U46" s="214"/>
      <c r="V46" s="212">
        <v>4767.24</v>
      </c>
      <c r="W46" s="214">
        <v>0</v>
      </c>
      <c r="X46" s="214"/>
      <c r="Y46" s="214"/>
      <c r="Z46" s="214">
        <v>0</v>
      </c>
      <c r="AA46" s="231">
        <v>0</v>
      </c>
      <c r="AB46" s="239">
        <f t="shared" ref="AB46:AB58" si="84">SUM(C46:AA46)</f>
        <v>31332.79</v>
      </c>
      <c r="AD46" s="147"/>
      <c r="AE46" s="147"/>
    </row>
    <row r="47" spans="1:31" x14ac:dyDescent="0.2">
      <c r="A47" s="210" t="s">
        <v>106</v>
      </c>
      <c r="B47" s="168" t="s">
        <v>107</v>
      </c>
      <c r="C47" s="214"/>
      <c r="D47" s="214">
        <v>12115.7</v>
      </c>
      <c r="E47" s="214"/>
      <c r="F47" s="214"/>
      <c r="G47" s="214"/>
      <c r="H47" s="214">
        <v>6135.48</v>
      </c>
      <c r="I47" s="211"/>
      <c r="J47" s="214"/>
      <c r="K47" s="214"/>
      <c r="L47" s="214">
        <v>0</v>
      </c>
      <c r="M47" s="214"/>
      <c r="N47" s="214"/>
      <c r="O47" s="214">
        <v>47103.89</v>
      </c>
      <c r="P47" s="214"/>
      <c r="Q47" s="214"/>
      <c r="R47" s="214"/>
      <c r="S47" s="214">
        <v>0</v>
      </c>
      <c r="T47" s="214">
        <v>0</v>
      </c>
      <c r="U47" s="214"/>
      <c r="V47" s="214">
        <v>0</v>
      </c>
      <c r="W47" s="214">
        <v>13829.51</v>
      </c>
      <c r="X47" s="214"/>
      <c r="Y47" s="214"/>
      <c r="Z47" s="214">
        <v>0</v>
      </c>
      <c r="AA47" s="231">
        <v>15000</v>
      </c>
      <c r="AB47" s="239">
        <f t="shared" si="84"/>
        <v>94184.58</v>
      </c>
      <c r="AD47" s="147"/>
      <c r="AE47" s="147"/>
    </row>
    <row r="48" spans="1:31" x14ac:dyDescent="0.2">
      <c r="A48" s="207">
        <v>418</v>
      </c>
      <c r="B48" s="163" t="s">
        <v>108</v>
      </c>
      <c r="C48" s="213">
        <v>98560.5</v>
      </c>
      <c r="D48" s="213">
        <v>604618.28</v>
      </c>
      <c r="E48" s="213">
        <v>292697.46999999997</v>
      </c>
      <c r="F48" s="213">
        <v>32350.369999999995</v>
      </c>
      <c r="G48" s="213"/>
      <c r="H48" s="213">
        <v>29745.37</v>
      </c>
      <c r="I48" s="213">
        <v>213043.54</v>
      </c>
      <c r="J48" s="213"/>
      <c r="K48" s="213">
        <v>84078.43</v>
      </c>
      <c r="L48" s="213">
        <v>152762.16</v>
      </c>
      <c r="M48" s="213">
        <v>260234.9</v>
      </c>
      <c r="N48" s="213">
        <v>309369.89</v>
      </c>
      <c r="O48" s="213">
        <v>777637.33</v>
      </c>
      <c r="P48" s="213">
        <v>50401.61</v>
      </c>
      <c r="Q48" s="213">
        <v>31732.400000000001</v>
      </c>
      <c r="R48" s="213">
        <v>746470.99</v>
      </c>
      <c r="S48" s="213">
        <v>2335853.54</v>
      </c>
      <c r="T48" s="213">
        <v>694846.99</v>
      </c>
      <c r="U48" s="213">
        <v>75664.990000000005</v>
      </c>
      <c r="V48" s="213">
        <v>124619.58</v>
      </c>
      <c r="W48" s="213">
        <v>223257.28</v>
      </c>
      <c r="X48" s="213">
        <v>54865.06</v>
      </c>
      <c r="Y48" s="213">
        <v>211791.9</v>
      </c>
      <c r="Z48" s="213">
        <v>581779.01</v>
      </c>
      <c r="AA48" s="230">
        <v>480000</v>
      </c>
      <c r="AB48" s="240">
        <f t="shared" si="84"/>
        <v>8466381.5899999999</v>
      </c>
      <c r="AD48" s="147"/>
      <c r="AE48" s="147"/>
    </row>
    <row r="49" spans="1:31" x14ac:dyDescent="0.2">
      <c r="A49" s="207">
        <v>419</v>
      </c>
      <c r="B49" s="163" t="s">
        <v>109</v>
      </c>
      <c r="C49" s="208">
        <f t="shared" ref="C49" si="85">SUM(C50:C57)</f>
        <v>36658.58</v>
      </c>
      <c r="D49" s="208">
        <f t="shared" ref="D49:E49" si="86">SUM(D50:D57)</f>
        <v>735960.95000000007</v>
      </c>
      <c r="E49" s="208">
        <f t="shared" si="86"/>
        <v>396314.33</v>
      </c>
      <c r="F49" s="208">
        <f t="shared" ref="F49:W49" si="87">SUM(F50:F57)</f>
        <v>387007.70000000007</v>
      </c>
      <c r="G49" s="208">
        <f t="shared" ref="G49" si="88">SUM(G50:G57)</f>
        <v>1048735.8599999999</v>
      </c>
      <c r="H49" s="208">
        <f t="shared" si="87"/>
        <v>1012937.69</v>
      </c>
      <c r="I49" s="213">
        <f t="shared" ref="I49" si="89">SUM(I50:I57)</f>
        <v>336501.03</v>
      </c>
      <c r="J49" s="208">
        <f t="shared" si="87"/>
        <v>179154.23</v>
      </c>
      <c r="K49" s="208">
        <f t="shared" si="87"/>
        <v>232652.89</v>
      </c>
      <c r="L49" s="208">
        <f t="shared" ref="L49" si="90">SUM(L50:L57)</f>
        <v>398576.19000000006</v>
      </c>
      <c r="M49" s="208">
        <f t="shared" ref="M49" si="91">SUM(M50:M57)</f>
        <v>1899004.83</v>
      </c>
      <c r="N49" s="208">
        <f t="shared" ref="N49" si="92">SUM(N50:N57)</f>
        <v>730378.33</v>
      </c>
      <c r="O49" s="208">
        <f t="shared" si="87"/>
        <v>1870847.8600000003</v>
      </c>
      <c r="P49" s="208">
        <f>SUM(P50:P57)</f>
        <v>71254.399999999994</v>
      </c>
      <c r="Q49" s="208">
        <f t="shared" si="87"/>
        <v>104494.44</v>
      </c>
      <c r="R49" s="208">
        <f t="shared" si="87"/>
        <v>157594.07</v>
      </c>
      <c r="S49" s="208">
        <f>SUM(S50:S57)</f>
        <v>363492.66000000003</v>
      </c>
      <c r="T49" s="208">
        <f t="shared" ref="T49:V49" si="93">SUM(T50:T57)</f>
        <v>3276609.4000000004</v>
      </c>
      <c r="U49" s="208">
        <f t="shared" si="93"/>
        <v>239347.52999999997</v>
      </c>
      <c r="V49" s="208">
        <f t="shared" si="93"/>
        <v>622019.69999999995</v>
      </c>
      <c r="W49" s="208">
        <f t="shared" si="87"/>
        <v>1039064.87</v>
      </c>
      <c r="X49" s="208">
        <f t="shared" ref="X49:Y49" si="94">SUM(X50:X57)</f>
        <v>683577.42999999993</v>
      </c>
      <c r="Y49" s="208">
        <f t="shared" si="94"/>
        <v>157823.62999999998</v>
      </c>
      <c r="Z49" s="208">
        <v>379976.26</v>
      </c>
      <c r="AA49" s="230">
        <f>SUM(AA50:AA57)</f>
        <v>237000</v>
      </c>
      <c r="AB49" s="238">
        <f>SUM(AB50:AB57)</f>
        <v>16596984.859999999</v>
      </c>
      <c r="AD49" s="147"/>
      <c r="AE49" s="147"/>
    </row>
    <row r="50" spans="1:31" x14ac:dyDescent="0.2">
      <c r="A50" s="210" t="s">
        <v>110</v>
      </c>
      <c r="B50" s="168" t="s">
        <v>111</v>
      </c>
      <c r="C50" s="211">
        <v>11883.06</v>
      </c>
      <c r="D50" s="211">
        <v>281947.40000000002</v>
      </c>
      <c r="E50" s="211">
        <v>248060.04</v>
      </c>
      <c r="F50" s="211">
        <v>124223.37999999999</v>
      </c>
      <c r="G50" s="211">
        <v>256238.15</v>
      </c>
      <c r="H50" s="211">
        <v>229549.91</v>
      </c>
      <c r="I50" s="211">
        <v>215016.08</v>
      </c>
      <c r="J50" s="211">
        <v>44935</v>
      </c>
      <c r="K50" s="211">
        <v>150128.22</v>
      </c>
      <c r="L50" s="211">
        <v>67241.400000000009</v>
      </c>
      <c r="M50" s="211">
        <v>431154.96</v>
      </c>
      <c r="N50" s="211">
        <v>139850.85</v>
      </c>
      <c r="O50" s="211">
        <v>1134149.69</v>
      </c>
      <c r="P50" s="211">
        <v>21960.27</v>
      </c>
      <c r="Q50" s="211">
        <v>50118</v>
      </c>
      <c r="R50" s="211">
        <v>61664.21</v>
      </c>
      <c r="S50" s="211">
        <v>171317.14</v>
      </c>
      <c r="T50" s="211">
        <v>1838433.96</v>
      </c>
      <c r="U50" s="211">
        <v>158244.21</v>
      </c>
      <c r="V50" s="212">
        <v>54084.52</v>
      </c>
      <c r="W50" s="211">
        <v>257691.33</v>
      </c>
      <c r="X50" s="211">
        <v>113141.88</v>
      </c>
      <c r="Y50" s="211">
        <v>67777.81</v>
      </c>
      <c r="Z50" s="211">
        <v>203231.39</v>
      </c>
      <c r="AA50" s="231">
        <v>80000</v>
      </c>
      <c r="AB50" s="239">
        <f t="shared" si="84"/>
        <v>6412042.8599999985</v>
      </c>
      <c r="AD50" s="147"/>
      <c r="AE50" s="147"/>
    </row>
    <row r="51" spans="1:31" x14ac:dyDescent="0.2">
      <c r="A51" s="210" t="s">
        <v>112</v>
      </c>
      <c r="B51" s="168" t="s">
        <v>113</v>
      </c>
      <c r="C51" s="211">
        <v>12263.9</v>
      </c>
      <c r="D51" s="211">
        <v>132270.72</v>
      </c>
      <c r="E51" s="211">
        <v>42753.35</v>
      </c>
      <c r="F51" s="211">
        <v>154416.53000000003</v>
      </c>
      <c r="G51" s="211">
        <v>10524.83</v>
      </c>
      <c r="H51" s="211">
        <v>159465.72</v>
      </c>
      <c r="I51" s="211">
        <v>6329</v>
      </c>
      <c r="J51" s="211">
        <v>36934.04</v>
      </c>
      <c r="K51" s="211">
        <v>0</v>
      </c>
      <c r="L51" s="211">
        <v>56707.18</v>
      </c>
      <c r="M51" s="211">
        <v>1076110.57</v>
      </c>
      <c r="N51" s="211">
        <v>16598</v>
      </c>
      <c r="O51" s="211">
        <v>311915.37</v>
      </c>
      <c r="P51" s="211">
        <v>1042.8</v>
      </c>
      <c r="Q51" s="211">
        <v>38733.360000000001</v>
      </c>
      <c r="R51" s="211">
        <v>51096.32</v>
      </c>
      <c r="S51" s="211">
        <v>77519.5</v>
      </c>
      <c r="T51" s="211">
        <v>1085324.49</v>
      </c>
      <c r="U51" s="211">
        <v>0</v>
      </c>
      <c r="V51" s="212">
        <v>119088.39</v>
      </c>
      <c r="W51" s="211">
        <v>119696.1</v>
      </c>
      <c r="X51" s="211">
        <v>39103.71</v>
      </c>
      <c r="Y51" s="211">
        <v>67810.67</v>
      </c>
      <c r="Z51" s="211">
        <v>85752.15</v>
      </c>
      <c r="AA51" s="231">
        <v>90000</v>
      </c>
      <c r="AB51" s="239">
        <f t="shared" si="84"/>
        <v>3791456.7000000007</v>
      </c>
      <c r="AD51" s="147"/>
      <c r="AE51" s="147"/>
    </row>
    <row r="52" spans="1:31" x14ac:dyDescent="0.2">
      <c r="A52" s="210" t="s">
        <v>114</v>
      </c>
      <c r="B52" s="168" t="s">
        <v>115</v>
      </c>
      <c r="C52" s="211">
        <v>1200</v>
      </c>
      <c r="D52" s="211">
        <v>72046.929999999993</v>
      </c>
      <c r="E52" s="211">
        <v>13083.2</v>
      </c>
      <c r="F52" s="211">
        <v>34753.21</v>
      </c>
      <c r="G52" s="211">
        <v>121565.8</v>
      </c>
      <c r="H52" s="211">
        <v>9271.2099999999991</v>
      </c>
      <c r="I52" s="211">
        <v>11850</v>
      </c>
      <c r="J52" s="211">
        <v>665.5</v>
      </c>
      <c r="K52" s="211">
        <v>34921.379999999997</v>
      </c>
      <c r="L52" s="211">
        <v>3291.2</v>
      </c>
      <c r="M52" s="211">
        <v>59040.52</v>
      </c>
      <c r="N52" s="211">
        <v>4087.95</v>
      </c>
      <c r="O52" s="211">
        <v>7332.6</v>
      </c>
      <c r="P52" s="211">
        <v>3211</v>
      </c>
      <c r="Q52" s="211">
        <v>3426.3</v>
      </c>
      <c r="R52" s="211">
        <v>4186.55</v>
      </c>
      <c r="S52" s="211">
        <v>45706.38</v>
      </c>
      <c r="T52" s="211">
        <v>186097.22</v>
      </c>
      <c r="U52" s="211"/>
      <c r="V52" s="212">
        <v>47864.54</v>
      </c>
      <c r="W52" s="211">
        <v>9607.83</v>
      </c>
      <c r="X52" s="211">
        <v>1331</v>
      </c>
      <c r="Y52" s="211"/>
      <c r="Z52" s="211">
        <v>18994.77</v>
      </c>
      <c r="AA52" s="231">
        <v>25000</v>
      </c>
      <c r="AB52" s="239">
        <f t="shared" si="84"/>
        <v>718535.09</v>
      </c>
      <c r="AD52" s="147"/>
      <c r="AE52" s="147"/>
    </row>
    <row r="53" spans="1:31" x14ac:dyDescent="0.2">
      <c r="A53" s="210" t="s">
        <v>116</v>
      </c>
      <c r="B53" s="168" t="s">
        <v>117</v>
      </c>
      <c r="C53" s="211">
        <v>7752.48</v>
      </c>
      <c r="D53" s="211">
        <v>39169.58</v>
      </c>
      <c r="E53" s="211">
        <v>15133.68</v>
      </c>
      <c r="F53" s="211">
        <v>13459.539999999999</v>
      </c>
      <c r="G53" s="211">
        <v>43739.44</v>
      </c>
      <c r="H53" s="211">
        <v>11284.55</v>
      </c>
      <c r="I53" s="211">
        <v>12161.32</v>
      </c>
      <c r="J53" s="211">
        <v>0</v>
      </c>
      <c r="K53" s="211">
        <v>13684.82</v>
      </c>
      <c r="L53" s="211">
        <v>5393.61</v>
      </c>
      <c r="M53" s="211">
        <v>22548.77</v>
      </c>
      <c r="N53" s="211">
        <v>9409.99</v>
      </c>
      <c r="O53" s="211">
        <v>33313.089999999997</v>
      </c>
      <c r="P53" s="211">
        <v>2138</v>
      </c>
      <c r="Q53" s="211">
        <v>5751.48</v>
      </c>
      <c r="R53" s="211">
        <v>8331.14</v>
      </c>
      <c r="S53" s="211">
        <v>14500.61</v>
      </c>
      <c r="T53" s="211">
        <v>31176.6</v>
      </c>
      <c r="U53" s="211">
        <v>4411.99</v>
      </c>
      <c r="V53" s="212">
        <v>1038.97</v>
      </c>
      <c r="W53" s="211">
        <v>12250.89</v>
      </c>
      <c r="X53" s="211">
        <v>2892.12</v>
      </c>
      <c r="Y53" s="211">
        <v>903</v>
      </c>
      <c r="Z53" s="211">
        <v>5622.73</v>
      </c>
      <c r="AA53" s="231">
        <v>9000</v>
      </c>
      <c r="AB53" s="239">
        <f t="shared" si="84"/>
        <v>325068.39999999991</v>
      </c>
      <c r="AD53" s="147"/>
      <c r="AE53" s="147"/>
    </row>
    <row r="54" spans="1:31" x14ac:dyDescent="0.2">
      <c r="A54" s="210" t="s">
        <v>118</v>
      </c>
      <c r="B54" s="168" t="s">
        <v>119</v>
      </c>
      <c r="C54" s="214"/>
      <c r="D54" s="214"/>
      <c r="E54" s="214"/>
      <c r="F54" s="214"/>
      <c r="G54" s="214"/>
      <c r="H54" s="214"/>
      <c r="I54" s="211"/>
      <c r="J54" s="214"/>
      <c r="K54" s="214">
        <v>3400</v>
      </c>
      <c r="L54" s="214">
        <v>0</v>
      </c>
      <c r="M54" s="214"/>
      <c r="N54" s="214"/>
      <c r="O54" s="214">
        <v>8504.92</v>
      </c>
      <c r="P54" s="214"/>
      <c r="Q54" s="214"/>
      <c r="R54" s="214"/>
      <c r="S54" s="214">
        <v>0</v>
      </c>
      <c r="T54" s="214">
        <v>700</v>
      </c>
      <c r="U54" s="214"/>
      <c r="V54" s="214">
        <v>0</v>
      </c>
      <c r="W54" s="214">
        <v>0</v>
      </c>
      <c r="X54" s="214"/>
      <c r="Y54" s="214"/>
      <c r="Z54" s="214">
        <v>10000</v>
      </c>
      <c r="AA54" s="231"/>
      <c r="AB54" s="239">
        <f t="shared" si="84"/>
        <v>22604.92</v>
      </c>
      <c r="AD54" s="147"/>
      <c r="AE54" s="147"/>
    </row>
    <row r="55" spans="1:31" x14ac:dyDescent="0.2">
      <c r="A55" s="210" t="s">
        <v>120</v>
      </c>
      <c r="B55" s="168" t="s">
        <v>121</v>
      </c>
      <c r="C55" s="214">
        <v>2164.5</v>
      </c>
      <c r="D55" s="214">
        <v>49999.65</v>
      </c>
      <c r="E55" s="214">
        <v>4945.3900000000003</v>
      </c>
      <c r="F55" s="214">
        <v>11396.189999999999</v>
      </c>
      <c r="G55" s="214"/>
      <c r="H55" s="214">
        <v>4096.45</v>
      </c>
      <c r="I55" s="211">
        <v>10169.85</v>
      </c>
      <c r="J55" s="214">
        <v>9823</v>
      </c>
      <c r="K55" s="214">
        <v>0</v>
      </c>
      <c r="L55" s="214">
        <v>7724.98</v>
      </c>
      <c r="M55" s="214">
        <v>71875.399999999994</v>
      </c>
      <c r="N55" s="214">
        <v>525288.06999999995</v>
      </c>
      <c r="O55" s="214">
        <v>28762.3</v>
      </c>
      <c r="P55" s="214">
        <v>36305</v>
      </c>
      <c r="Q55" s="214"/>
      <c r="R55" s="214">
        <v>15033.75</v>
      </c>
      <c r="S55" s="214">
        <v>0</v>
      </c>
      <c r="T55" s="214">
        <v>133613.98000000001</v>
      </c>
      <c r="U55" s="214">
        <v>17947.189999999999</v>
      </c>
      <c r="V55" s="212">
        <v>20822.03</v>
      </c>
      <c r="W55" s="214">
        <v>0</v>
      </c>
      <c r="X55" s="214">
        <v>19028.54</v>
      </c>
      <c r="Y55" s="214"/>
      <c r="Z55" s="214">
        <v>5627.45</v>
      </c>
      <c r="AA55" s="231">
        <v>11000</v>
      </c>
      <c r="AB55" s="239">
        <f t="shared" si="84"/>
        <v>985623.72</v>
      </c>
      <c r="AD55" s="147"/>
      <c r="AE55" s="147"/>
    </row>
    <row r="56" spans="1:31" x14ac:dyDescent="0.2">
      <c r="A56" s="210" t="s">
        <v>122</v>
      </c>
      <c r="B56" s="168" t="s">
        <v>123</v>
      </c>
      <c r="C56" s="214">
        <v>33</v>
      </c>
      <c r="D56" s="214"/>
      <c r="E56" s="214">
        <v>0</v>
      </c>
      <c r="F56" s="214"/>
      <c r="G56" s="214"/>
      <c r="H56" s="214"/>
      <c r="I56" s="211"/>
      <c r="J56" s="214">
        <v>35.049999999999997</v>
      </c>
      <c r="K56" s="214">
        <v>0</v>
      </c>
      <c r="L56" s="214">
        <v>37</v>
      </c>
      <c r="M56" s="214"/>
      <c r="N56" s="214"/>
      <c r="O56" s="214"/>
      <c r="P56" s="214"/>
      <c r="Q56" s="214"/>
      <c r="R56" s="214">
        <v>223</v>
      </c>
      <c r="S56" s="214">
        <v>1755</v>
      </c>
      <c r="T56" s="214">
        <v>0</v>
      </c>
      <c r="U56" s="214"/>
      <c r="V56" s="214">
        <v>0</v>
      </c>
      <c r="W56" s="214">
        <v>0</v>
      </c>
      <c r="X56" s="214"/>
      <c r="Y56" s="214"/>
      <c r="Z56" s="214">
        <v>0</v>
      </c>
      <c r="AA56" s="231"/>
      <c r="AB56" s="239">
        <f t="shared" si="84"/>
        <v>2083.0500000000002</v>
      </c>
      <c r="AD56" s="147"/>
      <c r="AE56" s="147"/>
    </row>
    <row r="57" spans="1:31" x14ac:dyDescent="0.2">
      <c r="A57" s="210" t="s">
        <v>124</v>
      </c>
      <c r="B57" s="168" t="s">
        <v>125</v>
      </c>
      <c r="C57" s="211">
        <v>1361.64</v>
      </c>
      <c r="D57" s="211">
        <v>160526.67000000001</v>
      </c>
      <c r="E57" s="211">
        <v>72338.67</v>
      </c>
      <c r="F57" s="211">
        <v>48758.850000000006</v>
      </c>
      <c r="G57" s="211">
        <f>54445.46+539381.63+22840.55</f>
        <v>616667.64</v>
      </c>
      <c r="H57" s="211">
        <v>599269.85</v>
      </c>
      <c r="I57" s="211">
        <v>80974.78</v>
      </c>
      <c r="J57" s="211">
        <v>86761.64</v>
      </c>
      <c r="K57" s="211">
        <v>30518.47</v>
      </c>
      <c r="L57" s="211">
        <v>258180.82</v>
      </c>
      <c r="M57" s="211">
        <v>238274.61000000002</v>
      </c>
      <c r="N57" s="211">
        <v>35143.47</v>
      </c>
      <c r="O57" s="211">
        <v>346869.89</v>
      </c>
      <c r="P57" s="211">
        <f>4749.83+1847.5</f>
        <v>6597.33</v>
      </c>
      <c r="Q57" s="211">
        <v>6465.2999999999993</v>
      </c>
      <c r="R57" s="211">
        <v>17059.099999999999</v>
      </c>
      <c r="S57" s="211">
        <v>52694.03</v>
      </c>
      <c r="T57" s="211">
        <v>1263.1500000000001</v>
      </c>
      <c r="U57" s="211">
        <v>58744.14</v>
      </c>
      <c r="V57" s="212">
        <v>379121.25</v>
      </c>
      <c r="W57" s="211">
        <v>639818.72</v>
      </c>
      <c r="X57" s="211">
        <v>508080.18</v>
      </c>
      <c r="Y57" s="211">
        <v>21332.15</v>
      </c>
      <c r="Z57" s="211">
        <v>50747.77</v>
      </c>
      <c r="AA57" s="231">
        <v>22000</v>
      </c>
      <c r="AB57" s="239">
        <f t="shared" si="84"/>
        <v>4339570.12</v>
      </c>
      <c r="AD57" s="147"/>
      <c r="AE57" s="147"/>
    </row>
    <row r="58" spans="1:31" s="190" customFormat="1" x14ac:dyDescent="0.2">
      <c r="A58" s="203">
        <v>42</v>
      </c>
      <c r="B58" s="189" t="s">
        <v>126</v>
      </c>
      <c r="C58" s="215">
        <v>0</v>
      </c>
      <c r="D58" s="215">
        <v>293347.34999999998</v>
      </c>
      <c r="E58" s="215">
        <v>0</v>
      </c>
      <c r="F58" s="215">
        <v>259982.75000000003</v>
      </c>
      <c r="G58" s="215">
        <v>0</v>
      </c>
      <c r="H58" s="215">
        <v>0</v>
      </c>
      <c r="I58" s="215">
        <v>0</v>
      </c>
      <c r="J58" s="215">
        <v>150.58000000000001</v>
      </c>
      <c r="K58" s="215">
        <v>0</v>
      </c>
      <c r="L58" s="215">
        <v>95940</v>
      </c>
      <c r="M58" s="215">
        <v>5239</v>
      </c>
      <c r="N58" s="215">
        <v>117853.86</v>
      </c>
      <c r="O58" s="215">
        <v>2106427.4700000002</v>
      </c>
      <c r="P58" s="215">
        <v>26816.67</v>
      </c>
      <c r="Q58" s="215">
        <v>4269.3</v>
      </c>
      <c r="R58" s="215">
        <v>203135.14</v>
      </c>
      <c r="S58" s="215">
        <v>1288065.8</v>
      </c>
      <c r="T58" s="215">
        <v>0</v>
      </c>
      <c r="U58" s="215">
        <v>5590</v>
      </c>
      <c r="V58" s="215">
        <v>0</v>
      </c>
      <c r="W58" s="215">
        <v>0</v>
      </c>
      <c r="X58" s="215">
        <v>0</v>
      </c>
      <c r="Y58" s="216">
        <v>10400.129999999999</v>
      </c>
      <c r="Z58" s="216">
        <v>0</v>
      </c>
      <c r="AA58" s="232">
        <v>0</v>
      </c>
      <c r="AB58" s="241">
        <f t="shared" si="84"/>
        <v>4417218.05</v>
      </c>
      <c r="AD58" s="191"/>
      <c r="AE58" s="191"/>
    </row>
    <row r="59" spans="1:31" x14ac:dyDescent="0.2">
      <c r="A59" s="203">
        <v>43</v>
      </c>
      <c r="B59" s="189" t="s">
        <v>127</v>
      </c>
      <c r="C59" s="204">
        <f t="shared" ref="C59" si="95">+C60+C70</f>
        <v>1522965.55</v>
      </c>
      <c r="D59" s="204">
        <f t="shared" ref="D59:E59" si="96">+D60+D70</f>
        <v>9912352.5700000003</v>
      </c>
      <c r="E59" s="204">
        <f t="shared" si="96"/>
        <v>6422718.8100000005</v>
      </c>
      <c r="F59" s="204">
        <f t="shared" ref="F59:R59" si="97">+F60+F70</f>
        <v>6884030.3899999997</v>
      </c>
      <c r="G59" s="204">
        <f t="shared" si="97"/>
        <v>18813010.630000003</v>
      </c>
      <c r="H59" s="204">
        <f t="shared" si="97"/>
        <v>3936839.61</v>
      </c>
      <c r="I59" s="215">
        <f t="shared" si="97"/>
        <v>1345282.6199999999</v>
      </c>
      <c r="J59" s="204">
        <f t="shared" si="97"/>
        <v>1016926.37</v>
      </c>
      <c r="K59" s="204">
        <f t="shared" si="97"/>
        <v>11363884.93</v>
      </c>
      <c r="L59" s="204">
        <f t="shared" si="97"/>
        <v>1302535.3199999998</v>
      </c>
      <c r="M59" s="204">
        <f t="shared" si="97"/>
        <v>9678321.5300000012</v>
      </c>
      <c r="N59" s="204">
        <f t="shared" si="97"/>
        <v>1301198.8500000001</v>
      </c>
      <c r="O59" s="204">
        <f t="shared" si="97"/>
        <v>13256311.960000001</v>
      </c>
      <c r="P59" s="204">
        <f t="shared" si="97"/>
        <v>546982.56000000006</v>
      </c>
      <c r="Q59" s="204">
        <f t="shared" si="97"/>
        <v>1927277.79</v>
      </c>
      <c r="R59" s="204">
        <f t="shared" si="97"/>
        <v>2130175.6799999997</v>
      </c>
      <c r="S59" s="204">
        <f>S60+S70</f>
        <v>4345352.41</v>
      </c>
      <c r="T59" s="204">
        <f t="shared" ref="T59:V59" si="98">+T60+T70</f>
        <v>27402954.240000002</v>
      </c>
      <c r="U59" s="204">
        <f t="shared" si="98"/>
        <v>4185164.7600000002</v>
      </c>
      <c r="V59" s="204">
        <f t="shared" si="98"/>
        <v>7042994.2599999998</v>
      </c>
      <c r="W59" s="204">
        <f t="shared" ref="W59:Y59" si="99">+W60+W70</f>
        <v>3804455.2800000003</v>
      </c>
      <c r="X59" s="204">
        <f t="shared" si="99"/>
        <v>1223471.0799999998</v>
      </c>
      <c r="Y59" s="205">
        <f t="shared" si="99"/>
        <v>1013710.1</v>
      </c>
      <c r="Z59" s="205">
        <f>SUM(Z60,Z70)</f>
        <v>2544565.0999999996</v>
      </c>
      <c r="AA59" s="233">
        <f>SUM(AA60+AA70)</f>
        <v>1822900</v>
      </c>
      <c r="AB59" s="237">
        <f>+AB60+AB70</f>
        <v>144746382.40000004</v>
      </c>
      <c r="AD59" s="147"/>
      <c r="AE59" s="147"/>
    </row>
    <row r="60" spans="1:31" x14ac:dyDescent="0.2">
      <c r="A60" s="207">
        <v>431</v>
      </c>
      <c r="B60" s="163" t="s">
        <v>127</v>
      </c>
      <c r="C60" s="208">
        <f t="shared" ref="C60" si="100">SUM(C61:C69)</f>
        <v>749361.81</v>
      </c>
      <c r="D60" s="208">
        <f t="shared" ref="D60:E60" si="101">SUM(D61:D69)</f>
        <v>4839102.7299999995</v>
      </c>
      <c r="E60" s="208">
        <f t="shared" si="101"/>
        <v>2659028.67</v>
      </c>
      <c r="F60" s="208">
        <f t="shared" ref="F60:R60" si="102">SUM(F61:F69)</f>
        <v>5556808.8799999999</v>
      </c>
      <c r="G60" s="208">
        <f t="shared" ref="G60" si="103">SUM(G61:G69)</f>
        <v>12272620.140000001</v>
      </c>
      <c r="H60" s="208">
        <f t="shared" si="102"/>
        <v>2299079.63</v>
      </c>
      <c r="I60" s="213">
        <f t="shared" ref="I60" si="104">SUM(I61:I69)</f>
        <v>1123097.5699999998</v>
      </c>
      <c r="J60" s="208">
        <f t="shared" si="102"/>
        <v>680526.37</v>
      </c>
      <c r="K60" s="208">
        <f t="shared" ref="K60" si="105">SUM(K61:K69)</f>
        <v>5395747.3799999999</v>
      </c>
      <c r="L60" s="208">
        <f t="shared" ref="L60" si="106">SUM(L61:L69)</f>
        <v>967535.30999999994</v>
      </c>
      <c r="M60" s="208">
        <f t="shared" ref="M60" si="107">SUM(M61:M69)</f>
        <v>6163771.0500000007</v>
      </c>
      <c r="N60" s="208">
        <f t="shared" ref="N60" si="108">SUM(N61:N69)</f>
        <v>951520.07000000007</v>
      </c>
      <c r="O60" s="208">
        <f t="shared" si="102"/>
        <v>7229050.7400000002</v>
      </c>
      <c r="P60" s="208">
        <f t="shared" ref="P60" si="109">SUM(P61:P69)</f>
        <v>237198.31</v>
      </c>
      <c r="Q60" s="208">
        <f t="shared" si="102"/>
        <v>1506411.1900000002</v>
      </c>
      <c r="R60" s="208">
        <f t="shared" si="102"/>
        <v>1035915.3599999999</v>
      </c>
      <c r="S60" s="208">
        <f>SUM(S61:S69)</f>
        <v>3058964.7600000002</v>
      </c>
      <c r="T60" s="208">
        <f t="shared" ref="T60:V60" si="110">SUM(T61:T69)</f>
        <v>7960566.46</v>
      </c>
      <c r="U60" s="208">
        <f t="shared" si="110"/>
        <v>953101.37</v>
      </c>
      <c r="V60" s="208">
        <f t="shared" si="110"/>
        <v>2309572</v>
      </c>
      <c r="W60" s="208">
        <f t="shared" ref="W60" si="111">SUM(W61:W69)</f>
        <v>491977.83</v>
      </c>
      <c r="X60" s="208">
        <f t="shared" ref="X60:Y60" si="112">SUM(X61:X69)</f>
        <v>746926.64999999991</v>
      </c>
      <c r="Y60" s="208">
        <f t="shared" si="112"/>
        <v>243824.13000000003</v>
      </c>
      <c r="Z60" s="208">
        <f>SUM(Z61:Z69)</f>
        <v>1335565.0999999999</v>
      </c>
      <c r="AA60" s="230">
        <f>SUM(AA61:AA69)</f>
        <v>1422900</v>
      </c>
      <c r="AB60" s="238">
        <f>SUM(AB61:AB69)</f>
        <v>72190173.510000005</v>
      </c>
      <c r="AD60" s="147"/>
      <c r="AE60" s="147"/>
    </row>
    <row r="61" spans="1:31" x14ac:dyDescent="0.2">
      <c r="A61" s="210" t="s">
        <v>128</v>
      </c>
      <c r="B61" s="168" t="s">
        <v>129</v>
      </c>
      <c r="C61" s="214"/>
      <c r="D61" s="214">
        <v>0</v>
      </c>
      <c r="E61" s="214">
        <v>0</v>
      </c>
      <c r="F61" s="214">
        <v>46157.530000000006</v>
      </c>
      <c r="G61" s="214">
        <v>300000</v>
      </c>
      <c r="H61" s="214">
        <v>0</v>
      </c>
      <c r="I61" s="211"/>
      <c r="J61" s="214">
        <v>0</v>
      </c>
      <c r="K61" s="214">
        <v>40480.699999999997</v>
      </c>
      <c r="L61" s="214">
        <v>0</v>
      </c>
      <c r="M61" s="214"/>
      <c r="N61" s="214">
        <v>0</v>
      </c>
      <c r="O61" s="214">
        <v>0</v>
      </c>
      <c r="P61" s="214"/>
      <c r="Q61" s="214">
        <v>0</v>
      </c>
      <c r="R61" s="214">
        <v>78336</v>
      </c>
      <c r="S61" s="214">
        <v>4173.3999999999996</v>
      </c>
      <c r="T61" s="214">
        <v>0</v>
      </c>
      <c r="U61" s="214"/>
      <c r="V61" s="212">
        <v>14735</v>
      </c>
      <c r="W61" s="214">
        <v>25704</v>
      </c>
      <c r="X61" s="214">
        <v>17989.57</v>
      </c>
      <c r="Y61" s="214"/>
      <c r="Z61" s="214">
        <v>0</v>
      </c>
      <c r="AA61" s="231">
        <v>5000</v>
      </c>
      <c r="AB61" s="239">
        <f t="shared" ref="AB61:AB73" si="113">SUM(C61:AA61)</f>
        <v>532576.20000000007</v>
      </c>
      <c r="AD61" s="147"/>
      <c r="AE61" s="147"/>
    </row>
    <row r="62" spans="1:31" x14ac:dyDescent="0.2">
      <c r="A62" s="210" t="s">
        <v>130</v>
      </c>
      <c r="B62" s="168" t="s">
        <v>131</v>
      </c>
      <c r="C62" s="211"/>
      <c r="D62" s="211">
        <v>374809.42</v>
      </c>
      <c r="E62" s="211">
        <v>15794.63</v>
      </c>
      <c r="F62" s="211">
        <v>0</v>
      </c>
      <c r="G62" s="211">
        <f>95536.36+12888.84+245877.74</f>
        <v>354302.94</v>
      </c>
      <c r="H62" s="211">
        <v>13848.13</v>
      </c>
      <c r="I62" s="211">
        <v>10582.05</v>
      </c>
      <c r="J62" s="211">
        <v>0</v>
      </c>
      <c r="K62" s="211">
        <v>0</v>
      </c>
      <c r="L62" s="211">
        <v>0</v>
      </c>
      <c r="M62" s="211">
        <v>93595.32</v>
      </c>
      <c r="N62" s="211">
        <v>0</v>
      </c>
      <c r="O62" s="211">
        <v>47089.75</v>
      </c>
      <c r="P62" s="211"/>
      <c r="Q62" s="211">
        <v>8625.99</v>
      </c>
      <c r="R62" s="211">
        <v>81921.2</v>
      </c>
      <c r="S62" s="211">
        <v>79926.009999999995</v>
      </c>
      <c r="T62" s="211">
        <v>0</v>
      </c>
      <c r="U62" s="211">
        <v>11805</v>
      </c>
      <c r="V62" s="212">
        <v>0</v>
      </c>
      <c r="W62" s="211">
        <v>12000</v>
      </c>
      <c r="X62" s="211">
        <v>80426.89</v>
      </c>
      <c r="Y62" s="211"/>
      <c r="Z62" s="211">
        <v>0</v>
      </c>
      <c r="AA62" s="231">
        <v>40000</v>
      </c>
      <c r="AB62" s="239">
        <f t="shared" si="113"/>
        <v>1224727.3299999998</v>
      </c>
      <c r="AD62" s="147"/>
      <c r="AE62" s="147"/>
    </row>
    <row r="63" spans="1:31" x14ac:dyDescent="0.2">
      <c r="A63" s="210" t="s">
        <v>132</v>
      </c>
      <c r="B63" s="168" t="s">
        <v>133</v>
      </c>
      <c r="C63" s="211">
        <v>377329.2</v>
      </c>
      <c r="D63" s="211">
        <v>2587161.0099999998</v>
      </c>
      <c r="E63" s="211">
        <v>505051.28</v>
      </c>
      <c r="F63" s="211">
        <v>2449822.0199999996</v>
      </c>
      <c r="G63" s="211">
        <f>2869700+1515113.98+15000</f>
        <v>4399813.9800000004</v>
      </c>
      <c r="H63" s="211">
        <v>1173430</v>
      </c>
      <c r="I63" s="211">
        <v>314925.23</v>
      </c>
      <c r="J63" s="211">
        <v>349789</v>
      </c>
      <c r="K63" s="211">
        <v>3363688.81</v>
      </c>
      <c r="L63" s="211">
        <v>626828.69999999995</v>
      </c>
      <c r="M63" s="211">
        <v>3485238.7</v>
      </c>
      <c r="N63" s="211">
        <v>307123.01</v>
      </c>
      <c r="O63" s="211">
        <v>2016365.26</v>
      </c>
      <c r="P63" s="211">
        <v>22125.88</v>
      </c>
      <c r="Q63" s="211">
        <v>829410.31</v>
      </c>
      <c r="R63" s="211">
        <v>364052.17</v>
      </c>
      <c r="S63" s="211">
        <v>1000534.28</v>
      </c>
      <c r="T63" s="211">
        <v>4553405.5</v>
      </c>
      <c r="U63" s="211">
        <v>301622.24</v>
      </c>
      <c r="V63" s="212">
        <v>994100</v>
      </c>
      <c r="W63" s="211">
        <v>245000</v>
      </c>
      <c r="X63" s="217">
        <v>300475.2</v>
      </c>
      <c r="Y63" s="211"/>
      <c r="Z63" s="211">
        <v>779403</v>
      </c>
      <c r="AA63" s="231">
        <v>635000</v>
      </c>
      <c r="AB63" s="239">
        <f t="shared" si="113"/>
        <v>31981694.780000001</v>
      </c>
      <c r="AD63" s="147"/>
      <c r="AE63" s="147"/>
    </row>
    <row r="64" spans="1:31" x14ac:dyDescent="0.2">
      <c r="A64" s="210" t="s">
        <v>134</v>
      </c>
      <c r="B64" s="168" t="s">
        <v>135</v>
      </c>
      <c r="C64" s="214">
        <v>4000</v>
      </c>
      <c r="D64" s="214">
        <v>229740</v>
      </c>
      <c r="E64" s="214">
        <v>10715.2</v>
      </c>
      <c r="F64" s="214">
        <v>225950</v>
      </c>
      <c r="G64" s="214">
        <v>96279</v>
      </c>
      <c r="H64" s="214">
        <v>66956.77</v>
      </c>
      <c r="I64" s="211">
        <v>17499.900000000001</v>
      </c>
      <c r="J64" s="214">
        <v>5000</v>
      </c>
      <c r="K64" s="214">
        <v>221455.76</v>
      </c>
      <c r="L64" s="214">
        <v>10000</v>
      </c>
      <c r="M64" s="214">
        <v>205094.75</v>
      </c>
      <c r="N64" s="214">
        <v>0</v>
      </c>
      <c r="O64" s="214">
        <v>240799.3</v>
      </c>
      <c r="P64" s="214">
        <v>0</v>
      </c>
      <c r="Q64" s="214">
        <v>30800</v>
      </c>
      <c r="R64" s="214">
        <v>28472.21</v>
      </c>
      <c r="S64" s="214">
        <v>3996.31</v>
      </c>
      <c r="T64" s="214">
        <v>82354.22</v>
      </c>
      <c r="U64" s="214">
        <v>14999.96</v>
      </c>
      <c r="V64" s="212">
        <v>118838.39999999999</v>
      </c>
      <c r="W64" s="214">
        <v>34115</v>
      </c>
      <c r="X64" s="211">
        <v>21950</v>
      </c>
      <c r="Y64" s="214"/>
      <c r="Z64" s="214">
        <v>45000</v>
      </c>
      <c r="AA64" s="231">
        <v>22000</v>
      </c>
      <c r="AB64" s="239">
        <f t="shared" si="113"/>
        <v>1736016.7799999998</v>
      </c>
      <c r="AD64" s="147"/>
      <c r="AE64" s="147"/>
    </row>
    <row r="65" spans="1:31" x14ac:dyDescent="0.2">
      <c r="A65" s="210" t="s">
        <v>136</v>
      </c>
      <c r="B65" s="168" t="s">
        <v>137</v>
      </c>
      <c r="C65" s="211">
        <v>28735.72</v>
      </c>
      <c r="D65" s="211">
        <v>277985.5</v>
      </c>
      <c r="E65" s="211">
        <v>123540.38</v>
      </c>
      <c r="F65" s="211">
        <v>243471.27999999997</v>
      </c>
      <c r="G65" s="211">
        <f>252760.42+16577.1+92872.66</f>
        <v>362210.18000000005</v>
      </c>
      <c r="H65" s="211">
        <v>25198</v>
      </c>
      <c r="I65" s="211">
        <v>75812.11</v>
      </c>
      <c r="J65" s="211">
        <v>0</v>
      </c>
      <c r="K65" s="211">
        <v>539298.84</v>
      </c>
      <c r="L65" s="211">
        <v>127564.26</v>
      </c>
      <c r="M65" s="211">
        <v>400625.68</v>
      </c>
      <c r="N65" s="211">
        <v>64072.91</v>
      </c>
      <c r="O65" s="211">
        <v>620194.61</v>
      </c>
      <c r="P65" s="211">
        <v>19848.53</v>
      </c>
      <c r="Q65" s="211">
        <v>45765.43</v>
      </c>
      <c r="R65" s="211">
        <v>65906.58</v>
      </c>
      <c r="S65" s="211">
        <v>219031.64</v>
      </c>
      <c r="T65" s="211">
        <v>847785.59</v>
      </c>
      <c r="U65" s="211">
        <v>128328.96000000001</v>
      </c>
      <c r="V65" s="212">
        <v>193500.42</v>
      </c>
      <c r="W65" s="211">
        <v>56488.83</v>
      </c>
      <c r="X65" s="214">
        <v>119661.96</v>
      </c>
      <c r="Y65" s="211">
        <v>38500.080000000002</v>
      </c>
      <c r="Z65" s="211">
        <v>104116.96</v>
      </c>
      <c r="AA65" s="231">
        <v>73900</v>
      </c>
      <c r="AB65" s="239">
        <f t="shared" si="113"/>
        <v>4801544.45</v>
      </c>
      <c r="AD65" s="147"/>
      <c r="AE65" s="147"/>
    </row>
    <row r="66" spans="1:31" x14ac:dyDescent="0.2">
      <c r="A66" s="210" t="s">
        <v>138</v>
      </c>
      <c r="B66" s="168" t="s">
        <v>139</v>
      </c>
      <c r="C66" s="211">
        <v>9900</v>
      </c>
      <c r="D66" s="211">
        <v>99500</v>
      </c>
      <c r="E66" s="211">
        <v>81366.899999999994</v>
      </c>
      <c r="F66" s="211">
        <v>0</v>
      </c>
      <c r="G66" s="211">
        <v>155960</v>
      </c>
      <c r="H66" s="211">
        <v>130700.4</v>
      </c>
      <c r="I66" s="211">
        <v>15480</v>
      </c>
      <c r="J66" s="211">
        <v>7900</v>
      </c>
      <c r="K66" s="211">
        <v>388009.05</v>
      </c>
      <c r="L66" s="211">
        <v>14890</v>
      </c>
      <c r="M66" s="211">
        <v>54660</v>
      </c>
      <c r="N66" s="211">
        <v>0</v>
      </c>
      <c r="O66" s="211">
        <v>251113.37</v>
      </c>
      <c r="P66" s="211">
        <v>8450</v>
      </c>
      <c r="Q66" s="211">
        <v>13660</v>
      </c>
      <c r="R66" s="211">
        <v>78976.05</v>
      </c>
      <c r="S66" s="211">
        <v>302812.59000000003</v>
      </c>
      <c r="T66" s="211">
        <v>161120</v>
      </c>
      <c r="U66" s="211">
        <v>94671.06</v>
      </c>
      <c r="V66" s="212">
        <v>152965.6</v>
      </c>
      <c r="W66" s="211">
        <v>40000</v>
      </c>
      <c r="X66" s="211">
        <v>52692.84</v>
      </c>
      <c r="Y66" s="211"/>
      <c r="Z66" s="211">
        <v>94310</v>
      </c>
      <c r="AA66" s="231">
        <v>30000</v>
      </c>
      <c r="AB66" s="239">
        <f t="shared" si="113"/>
        <v>2239137.8600000003</v>
      </c>
      <c r="AD66" s="147"/>
      <c r="AE66" s="147"/>
    </row>
    <row r="67" spans="1:31" x14ac:dyDescent="0.2">
      <c r="A67" s="210" t="s">
        <v>140</v>
      </c>
      <c r="B67" s="168" t="s">
        <v>141</v>
      </c>
      <c r="C67" s="218"/>
      <c r="D67" s="218">
        <v>9642.6</v>
      </c>
      <c r="E67" s="218">
        <v>0</v>
      </c>
      <c r="F67" s="218">
        <v>45518.14</v>
      </c>
      <c r="G67" s="218"/>
      <c r="H67" s="218">
        <v>0</v>
      </c>
      <c r="I67" s="219"/>
      <c r="J67" s="218">
        <v>0</v>
      </c>
      <c r="K67" s="218">
        <v>0</v>
      </c>
      <c r="L67" s="218">
        <v>11288.25</v>
      </c>
      <c r="M67" s="218"/>
      <c r="N67" s="218">
        <v>0</v>
      </c>
      <c r="O67" s="218">
        <v>0</v>
      </c>
      <c r="P67" s="218"/>
      <c r="Q67" s="218">
        <v>0</v>
      </c>
      <c r="R67" s="218">
        <v>28354.62</v>
      </c>
      <c r="S67" s="218">
        <v>0</v>
      </c>
      <c r="T67" s="218">
        <v>0</v>
      </c>
      <c r="U67" s="218"/>
      <c r="V67" s="212">
        <v>20865.87</v>
      </c>
      <c r="W67" s="218">
        <v>0</v>
      </c>
      <c r="X67" s="218"/>
      <c r="Y67" s="218"/>
      <c r="Z67" s="218">
        <v>0</v>
      </c>
      <c r="AA67" s="231">
        <v>0</v>
      </c>
      <c r="AB67" s="239">
        <f t="shared" si="113"/>
        <v>115669.47999999998</v>
      </c>
      <c r="AD67" s="147"/>
      <c r="AE67" s="147"/>
    </row>
    <row r="68" spans="1:31" x14ac:dyDescent="0.2">
      <c r="A68" s="210" t="s">
        <v>142</v>
      </c>
      <c r="B68" s="168" t="s">
        <v>143</v>
      </c>
      <c r="C68" s="211">
        <v>24550</v>
      </c>
      <c r="D68" s="211">
        <v>586550</v>
      </c>
      <c r="E68" s="211">
        <v>37424.379999999997</v>
      </c>
      <c r="F68" s="211">
        <v>1030660.05</v>
      </c>
      <c r="G68" s="211">
        <v>433174.38</v>
      </c>
      <c r="H68" s="211">
        <v>662361.74</v>
      </c>
      <c r="I68" s="211">
        <v>119256.68</v>
      </c>
      <c r="J68" s="211">
        <v>26837.37</v>
      </c>
      <c r="K68" s="211">
        <v>252250</v>
      </c>
      <c r="L68" s="211">
        <v>45802.1</v>
      </c>
      <c r="M68" s="211">
        <v>378721.61</v>
      </c>
      <c r="N68" s="211">
        <v>122090</v>
      </c>
      <c r="O68" s="211">
        <v>589750.16</v>
      </c>
      <c r="P68" s="211">
        <v>12580</v>
      </c>
      <c r="Q68" s="211">
        <v>71912.399999999994</v>
      </c>
      <c r="R68" s="211">
        <v>71053.33</v>
      </c>
      <c r="S68" s="211">
        <v>199764.8</v>
      </c>
      <c r="T68" s="218">
        <v>1544507.29</v>
      </c>
      <c r="U68" s="211">
        <v>72800</v>
      </c>
      <c r="V68" s="212">
        <v>109611.08</v>
      </c>
      <c r="W68" s="211">
        <v>68460</v>
      </c>
      <c r="X68" s="211">
        <v>19800</v>
      </c>
      <c r="Y68" s="219">
        <v>137551.21000000002</v>
      </c>
      <c r="Z68" s="219">
        <v>68922.73</v>
      </c>
      <c r="AA68" s="231">
        <v>226000</v>
      </c>
      <c r="AB68" s="239">
        <f t="shared" si="113"/>
        <v>6912391.3100000005</v>
      </c>
      <c r="AD68" s="147"/>
      <c r="AE68" s="147"/>
    </row>
    <row r="69" spans="1:31" x14ac:dyDescent="0.2">
      <c r="A69" s="210" t="s">
        <v>144</v>
      </c>
      <c r="B69" s="168" t="s">
        <v>145</v>
      </c>
      <c r="C69" s="211">
        <v>304846.89</v>
      </c>
      <c r="D69" s="211">
        <v>673714.2</v>
      </c>
      <c r="E69" s="211">
        <v>1885135.9</v>
      </c>
      <c r="F69" s="211">
        <v>1515229.86</v>
      </c>
      <c r="G69" s="211">
        <f>21000+8438.35+1139550+810000+609557.98+1363000+800000+1330000+59333.33+30000</f>
        <v>6170879.6600000001</v>
      </c>
      <c r="H69" s="211">
        <v>226584.59</v>
      </c>
      <c r="I69" s="211">
        <v>569541.6</v>
      </c>
      <c r="J69" s="211">
        <v>291000</v>
      </c>
      <c r="K69" s="211">
        <v>590564.22</v>
      </c>
      <c r="L69" s="211">
        <v>131162</v>
      </c>
      <c r="M69" s="211">
        <v>1545834.99</v>
      </c>
      <c r="N69" s="211">
        <v>458234.15</v>
      </c>
      <c r="O69" s="211">
        <v>3463738.29</v>
      </c>
      <c r="P69" s="211">
        <v>174193.9</v>
      </c>
      <c r="Q69" s="211">
        <v>506237.06</v>
      </c>
      <c r="R69" s="211">
        <v>238843.2</v>
      </c>
      <c r="S69" s="211">
        <v>1248725.73</v>
      </c>
      <c r="T69" s="211">
        <v>771393.86</v>
      </c>
      <c r="U69" s="211">
        <v>328874.15000000002</v>
      </c>
      <c r="V69" s="212">
        <v>704955.63</v>
      </c>
      <c r="W69" s="211">
        <v>10210</v>
      </c>
      <c r="X69" s="211">
        <v>133930.19</v>
      </c>
      <c r="Y69" s="219">
        <v>67772.84</v>
      </c>
      <c r="Z69" s="219">
        <v>243812.41</v>
      </c>
      <c r="AA69" s="231">
        <v>391000</v>
      </c>
      <c r="AB69" s="239">
        <f t="shared" si="113"/>
        <v>22646415.319999997</v>
      </c>
      <c r="AD69" s="147"/>
      <c r="AE69" s="147"/>
    </row>
    <row r="70" spans="1:31" x14ac:dyDescent="0.2">
      <c r="A70" s="207">
        <v>432</v>
      </c>
      <c r="B70" s="163" t="s">
        <v>146</v>
      </c>
      <c r="C70" s="208">
        <f t="shared" ref="C70" si="114">SUM(C71:C73)</f>
        <v>773603.74</v>
      </c>
      <c r="D70" s="208">
        <f t="shared" ref="D70:E70" si="115">SUM(D71:D73)</f>
        <v>5073249.84</v>
      </c>
      <c r="E70" s="208">
        <f t="shared" si="115"/>
        <v>3763690.14</v>
      </c>
      <c r="F70" s="208">
        <f t="shared" ref="F70:W70" si="116">SUM(F71:F73)</f>
        <v>1327221.51</v>
      </c>
      <c r="G70" s="208">
        <f t="shared" ref="G70" si="117">SUM(G71:G73)</f>
        <v>6540390.4900000002</v>
      </c>
      <c r="H70" s="208">
        <f t="shared" si="116"/>
        <v>1637759.98</v>
      </c>
      <c r="I70" s="213">
        <f t="shared" ref="I70" si="118">SUM(I71:I73)</f>
        <v>222185.05</v>
      </c>
      <c r="J70" s="208">
        <f t="shared" si="116"/>
        <v>336400</v>
      </c>
      <c r="K70" s="208">
        <f t="shared" ref="K70" si="119">SUM(K71:K73)</f>
        <v>5968137.5499999998</v>
      </c>
      <c r="L70" s="208">
        <f t="shared" ref="L70" si="120">SUM(L71:L73)</f>
        <v>335000.01</v>
      </c>
      <c r="M70" s="208">
        <f t="shared" ref="M70" si="121">SUM(M71:M73)</f>
        <v>3514550.48</v>
      </c>
      <c r="N70" s="208">
        <f t="shared" ref="N70" si="122">SUM(N71:N73)</f>
        <v>349678.78</v>
      </c>
      <c r="O70" s="208">
        <f t="shared" si="116"/>
        <v>6027261.2199999997</v>
      </c>
      <c r="P70" s="208">
        <f t="shared" si="116"/>
        <v>309784.25</v>
      </c>
      <c r="Q70" s="208">
        <f t="shared" si="116"/>
        <v>420866.6</v>
      </c>
      <c r="R70" s="208">
        <f t="shared" si="116"/>
        <v>1094260.3199999998</v>
      </c>
      <c r="S70" s="208">
        <f>SUM(S71:S73)</f>
        <v>1286387.6500000001</v>
      </c>
      <c r="T70" s="208">
        <f t="shared" ref="T70:V70" si="123">SUM(T71:T73)</f>
        <v>19442387.780000001</v>
      </c>
      <c r="U70" s="208">
        <f t="shared" si="123"/>
        <v>3232063.39</v>
      </c>
      <c r="V70" s="208">
        <f t="shared" si="123"/>
        <v>4733422.26</v>
      </c>
      <c r="W70" s="208">
        <f t="shared" si="116"/>
        <v>3312477.45</v>
      </c>
      <c r="X70" s="208">
        <f t="shared" ref="X70:Y70" si="124">SUM(X71:X73)</f>
        <v>476544.43</v>
      </c>
      <c r="Y70" s="208">
        <f t="shared" si="124"/>
        <v>769885.97</v>
      </c>
      <c r="Z70" s="208">
        <f>SUM(Z71:Z73)</f>
        <v>1209000</v>
      </c>
      <c r="AA70" s="230">
        <f>SUM(AA71:AA73)</f>
        <v>400000</v>
      </c>
      <c r="AB70" s="238">
        <f>SUM(AB71:AB73)</f>
        <v>72556208.890000015</v>
      </c>
      <c r="AD70" s="147"/>
      <c r="AE70" s="147"/>
    </row>
    <row r="71" spans="1:31" x14ac:dyDescent="0.2">
      <c r="A71" s="210" t="s">
        <v>147</v>
      </c>
      <c r="B71" s="168" t="s">
        <v>148</v>
      </c>
      <c r="C71" s="214"/>
      <c r="D71" s="214"/>
      <c r="E71" s="214"/>
      <c r="F71" s="214"/>
      <c r="G71" s="214"/>
      <c r="H71" s="214"/>
      <c r="I71" s="211"/>
      <c r="J71" s="214"/>
      <c r="K71" s="214"/>
      <c r="L71" s="214">
        <v>0</v>
      </c>
      <c r="M71" s="214"/>
      <c r="N71" s="214"/>
      <c r="O71" s="214"/>
      <c r="P71" s="214"/>
      <c r="Q71" s="214"/>
      <c r="R71" s="214"/>
      <c r="S71" s="214">
        <v>57391.29</v>
      </c>
      <c r="T71" s="214">
        <v>87837.2</v>
      </c>
      <c r="U71" s="214"/>
      <c r="V71" s="214">
        <v>0</v>
      </c>
      <c r="W71" s="214"/>
      <c r="X71" s="214"/>
      <c r="Y71" s="214"/>
      <c r="Z71" s="214">
        <v>0</v>
      </c>
      <c r="AA71" s="231"/>
      <c r="AB71" s="239">
        <f t="shared" si="113"/>
        <v>145228.49</v>
      </c>
      <c r="AD71" s="147"/>
      <c r="AE71" s="147"/>
    </row>
    <row r="72" spans="1:31" x14ac:dyDescent="0.2">
      <c r="A72" s="210" t="s">
        <v>149</v>
      </c>
      <c r="B72" s="168" t="s">
        <v>150</v>
      </c>
      <c r="C72" s="214"/>
      <c r="D72" s="214"/>
      <c r="E72" s="214"/>
      <c r="F72" s="214"/>
      <c r="G72" s="214"/>
      <c r="H72" s="214"/>
      <c r="I72" s="211"/>
      <c r="J72" s="214"/>
      <c r="K72" s="214"/>
      <c r="L72" s="214">
        <v>0</v>
      </c>
      <c r="M72" s="214">
        <v>169000</v>
      </c>
      <c r="N72" s="214"/>
      <c r="O72" s="214"/>
      <c r="P72" s="214"/>
      <c r="Q72" s="214"/>
      <c r="R72" s="214">
        <v>16663.400000000001</v>
      </c>
      <c r="S72" s="214"/>
      <c r="T72" s="214">
        <v>86430.720000000001</v>
      </c>
      <c r="U72" s="214"/>
      <c r="V72" s="214">
        <v>0</v>
      </c>
      <c r="W72" s="214"/>
      <c r="X72" s="214"/>
      <c r="Y72" s="214"/>
      <c r="Z72" s="214">
        <v>0</v>
      </c>
      <c r="AA72" s="231"/>
      <c r="AB72" s="239">
        <f t="shared" si="113"/>
        <v>272094.12</v>
      </c>
      <c r="AD72" s="147"/>
      <c r="AE72" s="147"/>
    </row>
    <row r="73" spans="1:31" x14ac:dyDescent="0.2">
      <c r="A73" s="210" t="s">
        <v>151</v>
      </c>
      <c r="B73" s="168" t="s">
        <v>152</v>
      </c>
      <c r="C73" s="211">
        <v>773603.74</v>
      </c>
      <c r="D73" s="211">
        <v>5073249.84</v>
      </c>
      <c r="E73" s="211">
        <v>3763690.14</v>
      </c>
      <c r="F73" s="211">
        <v>1327221.51</v>
      </c>
      <c r="G73" s="211">
        <v>6540390.4900000002</v>
      </c>
      <c r="H73" s="211">
        <v>1637759.98</v>
      </c>
      <c r="I73" s="211">
        <v>222185.05</v>
      </c>
      <c r="J73" s="211">
        <v>336400</v>
      </c>
      <c r="K73" s="211">
        <v>5968137.5499999998</v>
      </c>
      <c r="L73" s="211">
        <v>335000.01</v>
      </c>
      <c r="M73" s="211">
        <v>3345550.48</v>
      </c>
      <c r="N73" s="211">
        <v>349678.78</v>
      </c>
      <c r="O73" s="211">
        <v>6027261.2199999997</v>
      </c>
      <c r="P73" s="211">
        <v>309784.25</v>
      </c>
      <c r="Q73" s="211">
        <v>420866.6</v>
      </c>
      <c r="R73" s="211">
        <v>1077596.92</v>
      </c>
      <c r="S73" s="211">
        <v>1228996.3600000001</v>
      </c>
      <c r="T73" s="211">
        <v>19268119.859999999</v>
      </c>
      <c r="U73" s="211">
        <v>3232063.39</v>
      </c>
      <c r="V73" s="212">
        <v>4733422.26</v>
      </c>
      <c r="W73" s="211">
        <v>3312477.45</v>
      </c>
      <c r="X73" s="211">
        <v>476544.43</v>
      </c>
      <c r="Y73" s="211">
        <v>769885.97</v>
      </c>
      <c r="Z73" s="211">
        <v>1209000</v>
      </c>
      <c r="AA73" s="231">
        <v>400000</v>
      </c>
      <c r="AB73" s="239">
        <f t="shared" si="113"/>
        <v>72138886.280000016</v>
      </c>
      <c r="AD73" s="147"/>
      <c r="AE73" s="147"/>
    </row>
    <row r="74" spans="1:31" x14ac:dyDescent="0.2">
      <c r="A74" s="199" t="s">
        <v>153</v>
      </c>
      <c r="B74" s="157" t="s">
        <v>154</v>
      </c>
      <c r="C74" s="200">
        <f t="shared" ref="C74" si="125">C75</f>
        <v>689975.1100000001</v>
      </c>
      <c r="D74" s="200">
        <f t="shared" ref="D74:E74" si="126">D75</f>
        <v>16330422.600000001</v>
      </c>
      <c r="E74" s="200">
        <f t="shared" si="126"/>
        <v>1909609.08</v>
      </c>
      <c r="F74" s="200">
        <f t="shared" ref="F74:R74" si="127">F75</f>
        <v>3492019.1700000004</v>
      </c>
      <c r="G74" s="200">
        <f t="shared" si="127"/>
        <v>17890998.16</v>
      </c>
      <c r="H74" s="200">
        <f t="shared" si="127"/>
        <v>328102.21000000002</v>
      </c>
      <c r="I74" s="220">
        <f t="shared" si="127"/>
        <v>869542.00999999989</v>
      </c>
      <c r="J74" s="200">
        <f t="shared" si="127"/>
        <v>1002550.2799999999</v>
      </c>
      <c r="K74" s="200">
        <f t="shared" si="127"/>
        <v>9008546.8000000007</v>
      </c>
      <c r="L74" s="200">
        <f t="shared" si="127"/>
        <v>3753050.64</v>
      </c>
      <c r="M74" s="200">
        <f t="shared" si="127"/>
        <v>13660820.609999999</v>
      </c>
      <c r="N74" s="200">
        <f t="shared" si="127"/>
        <v>623881.13</v>
      </c>
      <c r="O74" s="200">
        <f t="shared" si="127"/>
        <v>5759408.4000000004</v>
      </c>
      <c r="P74" s="200">
        <f t="shared" si="127"/>
        <v>999314.52000000014</v>
      </c>
      <c r="Q74" s="200">
        <f t="shared" si="127"/>
        <v>2668988.5599999996</v>
      </c>
      <c r="R74" s="200">
        <f t="shared" si="127"/>
        <v>2993063.76</v>
      </c>
      <c r="S74" s="200">
        <f>S75</f>
        <v>8747580.9200000018</v>
      </c>
      <c r="T74" s="200">
        <f t="shared" ref="T74:V74" si="128">T75</f>
        <v>65260380.699999996</v>
      </c>
      <c r="U74" s="200">
        <f t="shared" si="128"/>
        <v>1270858.81</v>
      </c>
      <c r="V74" s="200">
        <f t="shared" si="128"/>
        <v>10231921.339999998</v>
      </c>
      <c r="W74" s="200">
        <f t="shared" ref="W74:Y74" si="129">W75</f>
        <v>1387990.64</v>
      </c>
      <c r="X74" s="200">
        <f t="shared" si="129"/>
        <v>2030589.3399999999</v>
      </c>
      <c r="Y74" s="201">
        <f t="shared" si="129"/>
        <v>728043.57000000007</v>
      </c>
      <c r="Z74" s="201">
        <v>1137665.93</v>
      </c>
      <c r="AA74" s="228">
        <f>SUM(AA75)</f>
        <v>6396000</v>
      </c>
      <c r="AB74" s="236">
        <f>AB75</f>
        <v>179171324.29000002</v>
      </c>
      <c r="AD74" s="147"/>
      <c r="AE74" s="147"/>
    </row>
    <row r="75" spans="1:31" x14ac:dyDescent="0.2">
      <c r="A75" s="207">
        <v>441</v>
      </c>
      <c r="B75" s="163" t="s">
        <v>154</v>
      </c>
      <c r="C75" s="208">
        <f t="shared" ref="C75" si="130">SUM(C76:C82)</f>
        <v>689975.1100000001</v>
      </c>
      <c r="D75" s="208">
        <f t="shared" ref="D75:E75" si="131">SUM(D76:D82)</f>
        <v>16330422.600000001</v>
      </c>
      <c r="E75" s="208">
        <f t="shared" si="131"/>
        <v>1909609.08</v>
      </c>
      <c r="F75" s="208">
        <f t="shared" ref="F75:R75" si="132">SUM(F76:F82)</f>
        <v>3492019.1700000004</v>
      </c>
      <c r="G75" s="208">
        <f>SUM(G77:G82)</f>
        <v>17890998.16</v>
      </c>
      <c r="H75" s="208">
        <f t="shared" si="132"/>
        <v>328102.21000000002</v>
      </c>
      <c r="I75" s="213">
        <f t="shared" ref="I75" si="133">SUM(I76:I82)</f>
        <v>869542.00999999989</v>
      </c>
      <c r="J75" s="208">
        <f>SUM(J76:J82)</f>
        <v>1002550.2799999999</v>
      </c>
      <c r="K75" s="208">
        <f t="shared" ref="K75" si="134">SUM(K76:K82)</f>
        <v>9008546.8000000007</v>
      </c>
      <c r="L75" s="208">
        <f t="shared" ref="L75" si="135">SUM(L76:L82)</f>
        <v>3753050.64</v>
      </c>
      <c r="M75" s="208">
        <f t="shared" ref="M75" si="136">SUM(M76:M82)</f>
        <v>13660820.609999999</v>
      </c>
      <c r="N75" s="208">
        <f t="shared" ref="N75" si="137">SUM(N76:N82)</f>
        <v>623881.13</v>
      </c>
      <c r="O75" s="208">
        <f t="shared" si="132"/>
        <v>5759408.4000000004</v>
      </c>
      <c r="P75" s="208">
        <f t="shared" si="132"/>
        <v>999314.52000000014</v>
      </c>
      <c r="Q75" s="208">
        <f t="shared" si="132"/>
        <v>2668988.5599999996</v>
      </c>
      <c r="R75" s="208">
        <f t="shared" si="132"/>
        <v>2993063.76</v>
      </c>
      <c r="S75" s="208">
        <f>SUM(S76:S82)</f>
        <v>8747580.9200000018</v>
      </c>
      <c r="T75" s="208">
        <f t="shared" ref="T75:V75" si="138">SUM(T76:T82)</f>
        <v>65260380.699999996</v>
      </c>
      <c r="U75" s="208">
        <f t="shared" si="138"/>
        <v>1270858.81</v>
      </c>
      <c r="V75" s="208">
        <f t="shared" si="138"/>
        <v>10231921.339999998</v>
      </c>
      <c r="W75" s="208">
        <f t="shared" ref="W75" si="139">SUM(W76:W82)</f>
        <v>1387990.64</v>
      </c>
      <c r="X75" s="208">
        <f t="shared" ref="X75" si="140">SUM(X76:X82)</f>
        <v>2030589.3399999999</v>
      </c>
      <c r="Y75" s="208">
        <f>SUM(Y76:Y82)</f>
        <v>728043.57000000007</v>
      </c>
      <c r="Z75" s="208">
        <v>1137665.93</v>
      </c>
      <c r="AA75" s="230">
        <f>SUM(AA76:AA82)</f>
        <v>6396000</v>
      </c>
      <c r="AB75" s="238">
        <f>SUM(AB76:AB82)</f>
        <v>179171324.29000002</v>
      </c>
      <c r="AD75" s="147"/>
      <c r="AE75" s="147"/>
    </row>
    <row r="76" spans="1:31" x14ac:dyDescent="0.2">
      <c r="A76" s="221">
        <v>4411</v>
      </c>
      <c r="B76" s="182" t="s">
        <v>155</v>
      </c>
      <c r="C76" s="218"/>
      <c r="D76" s="218">
        <v>0</v>
      </c>
      <c r="E76" s="218">
        <v>971110</v>
      </c>
      <c r="F76" s="218">
        <v>0</v>
      </c>
      <c r="G76" s="222"/>
      <c r="H76" s="218">
        <v>0</v>
      </c>
      <c r="I76" s="219"/>
      <c r="J76" s="218">
        <v>669198.25</v>
      </c>
      <c r="K76" s="218">
        <v>1293127.25</v>
      </c>
      <c r="L76" s="218">
        <v>0</v>
      </c>
      <c r="M76" s="218">
        <v>412592.9</v>
      </c>
      <c r="N76" s="218"/>
      <c r="O76" s="218">
        <v>0</v>
      </c>
      <c r="P76" s="218">
        <f>10576.7</f>
        <v>10576.7</v>
      </c>
      <c r="Q76" s="218"/>
      <c r="R76" s="218">
        <v>0</v>
      </c>
      <c r="S76" s="218">
        <v>0</v>
      </c>
      <c r="T76" s="218">
        <v>0</v>
      </c>
      <c r="U76" s="218">
        <v>20000</v>
      </c>
      <c r="V76" s="218">
        <v>0</v>
      </c>
      <c r="W76" s="218">
        <v>0</v>
      </c>
      <c r="X76" s="218"/>
      <c r="Y76" s="218"/>
      <c r="Z76" s="218">
        <v>0</v>
      </c>
      <c r="AA76" s="231">
        <v>0</v>
      </c>
      <c r="AB76" s="239">
        <f t="shared" ref="AB76:AB82" si="141">SUM(C76:AA76)</f>
        <v>3376605.1</v>
      </c>
      <c r="AD76" s="147"/>
      <c r="AE76" s="147"/>
    </row>
    <row r="77" spans="1:31" x14ac:dyDescent="0.2">
      <c r="A77" s="210" t="s">
        <v>156</v>
      </c>
      <c r="B77" s="168" t="s">
        <v>157</v>
      </c>
      <c r="C77" s="211">
        <v>117995.19</v>
      </c>
      <c r="D77" s="211">
        <v>10906449.67</v>
      </c>
      <c r="E77" s="211">
        <v>184826.12</v>
      </c>
      <c r="F77" s="211">
        <v>2605448.42</v>
      </c>
      <c r="G77" s="218">
        <v>11669208.49</v>
      </c>
      <c r="H77" s="211">
        <v>14641</v>
      </c>
      <c r="I77" s="211">
        <v>534914.56999999995</v>
      </c>
      <c r="J77" s="211">
        <v>270475.46000000002</v>
      </c>
      <c r="K77" s="211">
        <v>5488150.96</v>
      </c>
      <c r="L77" s="211">
        <v>183953.32</v>
      </c>
      <c r="M77" s="211">
        <v>3168955.91</v>
      </c>
      <c r="N77" s="211">
        <v>195286.48</v>
      </c>
      <c r="O77" s="211">
        <v>1690199.29</v>
      </c>
      <c r="P77" s="211">
        <f>23268.3+51145.56+96667.29+205611.92</f>
        <v>376693.07</v>
      </c>
      <c r="Q77" s="211">
        <v>2367407.8199999998</v>
      </c>
      <c r="R77" s="211">
        <v>670050.25</v>
      </c>
      <c r="S77" s="211">
        <v>3854137.99</v>
      </c>
      <c r="T77" s="211">
        <v>46102343.329999998</v>
      </c>
      <c r="U77" s="211">
        <v>1088295.33</v>
      </c>
      <c r="V77" s="212">
        <v>5408812.9299999997</v>
      </c>
      <c r="W77" s="211">
        <v>1022931.22</v>
      </c>
      <c r="X77" s="211">
        <v>887479.85</v>
      </c>
      <c r="Y77" s="211">
        <v>396996.64</v>
      </c>
      <c r="Z77" s="211">
        <v>217810.2</v>
      </c>
      <c r="AA77" s="231">
        <v>4030500</v>
      </c>
      <c r="AB77" s="239">
        <f t="shared" si="141"/>
        <v>103453963.50999999</v>
      </c>
      <c r="AD77" s="147"/>
      <c r="AE77" s="147"/>
    </row>
    <row r="78" spans="1:31" x14ac:dyDescent="0.2">
      <c r="A78" s="210" t="s">
        <v>158</v>
      </c>
      <c r="B78" s="168" t="s">
        <v>159</v>
      </c>
      <c r="C78" s="211">
        <v>309052.46000000002</v>
      </c>
      <c r="D78" s="211">
        <v>1573727.22</v>
      </c>
      <c r="E78" s="211">
        <v>182301.29</v>
      </c>
      <c r="F78" s="211">
        <v>0</v>
      </c>
      <c r="G78" s="211">
        <v>717558.32</v>
      </c>
      <c r="H78" s="211">
        <v>0</v>
      </c>
      <c r="I78" s="211"/>
      <c r="J78" s="211">
        <v>0</v>
      </c>
      <c r="K78" s="211">
        <v>961766.24</v>
      </c>
      <c r="L78" s="211">
        <v>92543.19</v>
      </c>
      <c r="M78" s="211">
        <v>733503.82</v>
      </c>
      <c r="N78" s="211">
        <v>13531.15</v>
      </c>
      <c r="O78" s="211">
        <v>519813.8</v>
      </c>
      <c r="P78" s="211"/>
      <c r="Q78" s="211"/>
      <c r="R78" s="211">
        <v>0</v>
      </c>
      <c r="S78" s="211">
        <v>71000</v>
      </c>
      <c r="T78" s="211">
        <v>3257861.41</v>
      </c>
      <c r="U78" s="211"/>
      <c r="V78" s="211">
        <v>0</v>
      </c>
      <c r="W78" s="211">
        <v>0</v>
      </c>
      <c r="X78" s="211">
        <v>35673.93</v>
      </c>
      <c r="Y78" s="211">
        <v>5441.58</v>
      </c>
      <c r="Z78" s="211">
        <v>45851.35</v>
      </c>
      <c r="AA78" s="231">
        <v>50000</v>
      </c>
      <c r="AB78" s="239">
        <f t="shared" si="141"/>
        <v>8569625.7599999998</v>
      </c>
      <c r="AD78" s="147"/>
      <c r="AE78" s="147"/>
    </row>
    <row r="79" spans="1:31" x14ac:dyDescent="0.2">
      <c r="A79" s="210" t="s">
        <v>160</v>
      </c>
      <c r="B79" s="168" t="s">
        <v>161</v>
      </c>
      <c r="C79" s="218"/>
      <c r="D79" s="218">
        <v>1813908.48</v>
      </c>
      <c r="E79" s="218">
        <v>0</v>
      </c>
      <c r="F79" s="218">
        <v>354505.47000000003</v>
      </c>
      <c r="G79" s="218">
        <v>31077.7</v>
      </c>
      <c r="H79" s="218">
        <v>0</v>
      </c>
      <c r="I79" s="219"/>
      <c r="J79" s="218">
        <v>0</v>
      </c>
      <c r="K79" s="218">
        <v>0</v>
      </c>
      <c r="L79" s="218">
        <v>0</v>
      </c>
      <c r="M79" s="218">
        <v>781840.36</v>
      </c>
      <c r="N79" s="218">
        <v>66548.789999999994</v>
      </c>
      <c r="O79" s="218">
        <v>89069.07</v>
      </c>
      <c r="P79" s="218"/>
      <c r="Q79" s="218"/>
      <c r="R79" s="218">
        <v>192303</v>
      </c>
      <c r="S79" s="218">
        <v>402896.03</v>
      </c>
      <c r="T79" s="218">
        <v>0</v>
      </c>
      <c r="U79" s="218"/>
      <c r="V79" s="212">
        <v>3121624.88</v>
      </c>
      <c r="W79" s="218">
        <v>0</v>
      </c>
      <c r="X79" s="218">
        <v>169573.66</v>
      </c>
      <c r="Y79" s="218">
        <v>0</v>
      </c>
      <c r="Z79" s="218">
        <v>0</v>
      </c>
      <c r="AA79" s="231">
        <v>0</v>
      </c>
      <c r="AB79" s="239">
        <f t="shared" si="141"/>
        <v>7023347.4400000004</v>
      </c>
      <c r="AD79" s="147"/>
      <c r="AE79" s="147"/>
    </row>
    <row r="80" spans="1:31" x14ac:dyDescent="0.2">
      <c r="A80" s="210" t="s">
        <v>162</v>
      </c>
      <c r="B80" s="168" t="s">
        <v>163</v>
      </c>
      <c r="C80" s="211">
        <v>57257.15</v>
      </c>
      <c r="D80" s="211">
        <v>911114.82</v>
      </c>
      <c r="E80" s="211">
        <v>200849.06</v>
      </c>
      <c r="F80" s="211">
        <v>127060.97</v>
      </c>
      <c r="G80" s="211">
        <v>2901143.36</v>
      </c>
      <c r="H80" s="211">
        <v>82185.52</v>
      </c>
      <c r="I80" s="211">
        <v>313742.84000000003</v>
      </c>
      <c r="J80" s="211">
        <v>12328.24</v>
      </c>
      <c r="K80" s="211">
        <v>539398.06999999995</v>
      </c>
      <c r="L80" s="211">
        <v>555207.09</v>
      </c>
      <c r="M80" s="211">
        <v>807080.1</v>
      </c>
      <c r="N80" s="211">
        <v>46260.75</v>
      </c>
      <c r="O80" s="211">
        <v>934420.55</v>
      </c>
      <c r="P80" s="211">
        <v>4038.36</v>
      </c>
      <c r="Q80" s="211">
        <v>301580.74</v>
      </c>
      <c r="R80" s="211">
        <v>258075.24</v>
      </c>
      <c r="S80" s="211">
        <v>1312840.44</v>
      </c>
      <c r="T80" s="218">
        <v>11174999.83</v>
      </c>
      <c r="U80" s="211">
        <v>100276.14</v>
      </c>
      <c r="V80" s="212">
        <v>162339.26</v>
      </c>
      <c r="W80" s="211">
        <v>347187.99</v>
      </c>
      <c r="X80" s="211">
        <v>451956.65</v>
      </c>
      <c r="Y80" s="211">
        <v>271581.14</v>
      </c>
      <c r="Z80" s="211">
        <v>11005.44</v>
      </c>
      <c r="AA80" s="231">
        <v>1465500</v>
      </c>
      <c r="AB80" s="239">
        <f t="shared" si="141"/>
        <v>23349429.75</v>
      </c>
      <c r="AD80" s="147"/>
      <c r="AE80" s="147"/>
    </row>
    <row r="81" spans="1:31" x14ac:dyDescent="0.2">
      <c r="A81" s="210" t="s">
        <v>164</v>
      </c>
      <c r="B81" s="168" t="s">
        <v>165</v>
      </c>
      <c r="C81" s="218"/>
      <c r="D81" s="218">
        <v>1020027.43</v>
      </c>
      <c r="E81" s="218">
        <v>0</v>
      </c>
      <c r="F81" s="218">
        <v>19522.66</v>
      </c>
      <c r="G81" s="218">
        <v>569897.26</v>
      </c>
      <c r="H81" s="218">
        <v>212270.99</v>
      </c>
      <c r="I81" s="219">
        <v>20884.599999999999</v>
      </c>
      <c r="J81" s="218">
        <v>0</v>
      </c>
      <c r="K81" s="218">
        <v>381615.09</v>
      </c>
      <c r="L81" s="218">
        <v>1214180.5</v>
      </c>
      <c r="M81" s="218">
        <v>4808660.2799999993</v>
      </c>
      <c r="N81" s="218">
        <v>22394.639999999999</v>
      </c>
      <c r="O81" s="218">
        <v>2525905.69</v>
      </c>
      <c r="P81" s="218">
        <f>30657.99+4495+6809.32+105734.99+9493.4+401320.13+1815+14957.41</f>
        <v>575283.24000000011</v>
      </c>
      <c r="Q81" s="218"/>
      <c r="R81" s="218">
        <v>1623612.72</v>
      </c>
      <c r="S81" s="218">
        <v>2927509.14</v>
      </c>
      <c r="T81" s="211">
        <v>4725176.13</v>
      </c>
      <c r="U81" s="218"/>
      <c r="V81" s="212">
        <v>205593.41</v>
      </c>
      <c r="W81" s="218">
        <v>8288.5</v>
      </c>
      <c r="X81" s="218">
        <v>396640.78</v>
      </c>
      <c r="Y81" s="218">
        <v>16148.99</v>
      </c>
      <c r="Z81" s="218">
        <v>409363.69</v>
      </c>
      <c r="AA81" s="231">
        <v>850000</v>
      </c>
      <c r="AB81" s="239">
        <f t="shared" si="141"/>
        <v>22532975.740000002</v>
      </c>
      <c r="AD81" s="147"/>
      <c r="AE81" s="147"/>
    </row>
    <row r="82" spans="1:31" x14ac:dyDescent="0.2">
      <c r="A82" s="210" t="s">
        <v>166</v>
      </c>
      <c r="B82" s="168" t="s">
        <v>167</v>
      </c>
      <c r="C82" s="211">
        <v>205670.31</v>
      </c>
      <c r="D82" s="211">
        <v>105194.98</v>
      </c>
      <c r="E82" s="211">
        <v>370522.61</v>
      </c>
      <c r="F82" s="211">
        <v>385481.65</v>
      </c>
      <c r="G82" s="211">
        <v>2002113.03</v>
      </c>
      <c r="H82" s="211">
        <v>19004.7</v>
      </c>
      <c r="I82" s="211">
        <v>0</v>
      </c>
      <c r="J82" s="211">
        <v>50548.33</v>
      </c>
      <c r="K82" s="211">
        <v>344489.19</v>
      </c>
      <c r="L82" s="211">
        <v>1707166.54</v>
      </c>
      <c r="M82" s="211">
        <v>2948187.24</v>
      </c>
      <c r="N82" s="211">
        <v>279859.32</v>
      </c>
      <c r="O82" s="211">
        <v>0</v>
      </c>
      <c r="P82" s="211">
        <f>29975.13+2748.02</f>
        <v>32723.15</v>
      </c>
      <c r="Q82" s="211"/>
      <c r="R82" s="211">
        <v>249022.55</v>
      </c>
      <c r="S82" s="211">
        <v>179197.32</v>
      </c>
      <c r="T82" s="211">
        <v>0</v>
      </c>
      <c r="U82" s="211">
        <v>62287.34</v>
      </c>
      <c r="V82" s="212">
        <v>1333550.8600000001</v>
      </c>
      <c r="W82" s="211">
        <v>9582.93</v>
      </c>
      <c r="X82" s="211">
        <v>89264.47</v>
      </c>
      <c r="Y82" s="211">
        <v>37875.22</v>
      </c>
      <c r="Z82" s="211">
        <v>453635.25</v>
      </c>
      <c r="AA82" s="231">
        <v>0</v>
      </c>
      <c r="AB82" s="239">
        <f t="shared" si="141"/>
        <v>10865376.990000002</v>
      </c>
      <c r="AD82" s="147"/>
      <c r="AE82" s="147"/>
    </row>
    <row r="83" spans="1:31" x14ac:dyDescent="0.2">
      <c r="A83" s="199" t="s">
        <v>168</v>
      </c>
      <c r="B83" s="157" t="s">
        <v>169</v>
      </c>
      <c r="C83" s="200">
        <f t="shared" ref="C83" si="142">+C84</f>
        <v>0</v>
      </c>
      <c r="D83" s="200">
        <f t="shared" ref="D83:E83" si="143">+D84</f>
        <v>0</v>
      </c>
      <c r="E83" s="200">
        <f t="shared" si="143"/>
        <v>0</v>
      </c>
      <c r="F83" s="200">
        <f t="shared" ref="F83:R83" si="144">+F84</f>
        <v>0</v>
      </c>
      <c r="G83" s="200">
        <f t="shared" si="144"/>
        <v>5033.6000000000004</v>
      </c>
      <c r="H83" s="200">
        <f t="shared" si="144"/>
        <v>80000</v>
      </c>
      <c r="I83" s="220">
        <f t="shared" si="144"/>
        <v>0</v>
      </c>
      <c r="J83" s="200">
        <f t="shared" si="144"/>
        <v>0</v>
      </c>
      <c r="K83" s="200">
        <f t="shared" ref="K83:L83" si="145">+K84</f>
        <v>0</v>
      </c>
      <c r="L83" s="200">
        <f t="shared" si="145"/>
        <v>0</v>
      </c>
      <c r="M83" s="200">
        <f t="shared" ref="M83:N83" si="146">+M84</f>
        <v>0</v>
      </c>
      <c r="N83" s="200">
        <f t="shared" si="146"/>
        <v>0</v>
      </c>
      <c r="O83" s="200">
        <f t="shared" si="144"/>
        <v>0</v>
      </c>
      <c r="P83" s="200">
        <f t="shared" si="144"/>
        <v>350</v>
      </c>
      <c r="Q83" s="200">
        <f t="shared" si="144"/>
        <v>0</v>
      </c>
      <c r="R83" s="200">
        <f t="shared" si="144"/>
        <v>0</v>
      </c>
      <c r="S83" s="200">
        <f>+S84</f>
        <v>0</v>
      </c>
      <c r="T83" s="200">
        <f t="shared" ref="T83:V83" si="147">+T84</f>
        <v>0</v>
      </c>
      <c r="U83" s="200">
        <f t="shared" si="147"/>
        <v>0</v>
      </c>
      <c r="V83" s="200">
        <f t="shared" si="147"/>
        <v>0</v>
      </c>
      <c r="W83" s="200">
        <f t="shared" ref="W83:Y83" si="148">+W84</f>
        <v>75000</v>
      </c>
      <c r="X83" s="200">
        <f t="shared" si="148"/>
        <v>0</v>
      </c>
      <c r="Y83" s="201">
        <f t="shared" si="148"/>
        <v>0</v>
      </c>
      <c r="Z83" s="201">
        <v>0</v>
      </c>
      <c r="AA83" s="228">
        <f>SUM(AA84)</f>
        <v>0</v>
      </c>
      <c r="AB83" s="236">
        <f>+AB84</f>
        <v>160383.6</v>
      </c>
      <c r="AD83" s="147"/>
      <c r="AE83" s="147"/>
    </row>
    <row r="84" spans="1:31" x14ac:dyDescent="0.2">
      <c r="A84" s="207">
        <v>451</v>
      </c>
      <c r="B84" s="163" t="s">
        <v>169</v>
      </c>
      <c r="C84" s="208">
        <f t="shared" ref="C84" si="149">SUM(C85:C88)</f>
        <v>0</v>
      </c>
      <c r="D84" s="208">
        <f t="shared" ref="D84:E84" si="150">SUM(D85:D88)</f>
        <v>0</v>
      </c>
      <c r="E84" s="208">
        <f t="shared" si="150"/>
        <v>0</v>
      </c>
      <c r="F84" s="208">
        <f t="shared" ref="F84:R84" si="151">SUM(F85:F88)</f>
        <v>0</v>
      </c>
      <c r="G84" s="208">
        <f t="shared" ref="G84" si="152">SUM(G85:G88)</f>
        <v>5033.6000000000004</v>
      </c>
      <c r="H84" s="208">
        <f t="shared" si="151"/>
        <v>80000</v>
      </c>
      <c r="I84" s="213">
        <f t="shared" ref="I84" si="153">SUM(I85:I88)</f>
        <v>0</v>
      </c>
      <c r="J84" s="208">
        <f t="shared" ref="J84" si="154">SUM(J85:J88)</f>
        <v>0</v>
      </c>
      <c r="K84" s="208">
        <f t="shared" ref="K84" si="155">SUM(K85:K88)</f>
        <v>0</v>
      </c>
      <c r="L84" s="208">
        <f t="shared" ref="L84" si="156">SUM(L85:L88)</f>
        <v>0</v>
      </c>
      <c r="M84" s="208">
        <f t="shared" ref="M84" si="157">SUM(M85:M88)</f>
        <v>0</v>
      </c>
      <c r="N84" s="208">
        <f t="shared" ref="N84" si="158">SUM(N85:N88)</f>
        <v>0</v>
      </c>
      <c r="O84" s="208">
        <f t="shared" si="151"/>
        <v>0</v>
      </c>
      <c r="P84" s="208">
        <f t="shared" si="151"/>
        <v>350</v>
      </c>
      <c r="Q84" s="208">
        <f t="shared" si="151"/>
        <v>0</v>
      </c>
      <c r="R84" s="208">
        <f t="shared" si="151"/>
        <v>0</v>
      </c>
      <c r="S84" s="208">
        <f>SUM(S85:S88)</f>
        <v>0</v>
      </c>
      <c r="T84" s="208">
        <f t="shared" ref="T84:V84" si="159">SUM(T85:T88)</f>
        <v>0</v>
      </c>
      <c r="U84" s="208">
        <f t="shared" si="159"/>
        <v>0</v>
      </c>
      <c r="V84" s="208">
        <f t="shared" si="159"/>
        <v>0</v>
      </c>
      <c r="W84" s="208">
        <f t="shared" ref="W84" si="160">SUM(W85:W88)</f>
        <v>75000</v>
      </c>
      <c r="X84" s="208">
        <f t="shared" ref="X84:Y84" si="161">SUM(X85:X88)</f>
        <v>0</v>
      </c>
      <c r="Y84" s="208">
        <f t="shared" si="161"/>
        <v>0</v>
      </c>
      <c r="Z84" s="208">
        <v>0</v>
      </c>
      <c r="AA84" s="230">
        <f>SUM(AA85:AA88)</f>
        <v>0</v>
      </c>
      <c r="AB84" s="238">
        <f>SUM(AB85:AB88)</f>
        <v>160383.6</v>
      </c>
      <c r="AD84" s="147"/>
      <c r="AE84" s="147"/>
    </row>
    <row r="85" spans="1:31" x14ac:dyDescent="0.2">
      <c r="A85" s="210" t="s">
        <v>170</v>
      </c>
      <c r="B85" s="168" t="s">
        <v>171</v>
      </c>
      <c r="C85" s="214"/>
      <c r="D85" s="214"/>
      <c r="E85" s="214"/>
      <c r="F85" s="214"/>
      <c r="G85" s="214">
        <v>5033.6000000000004</v>
      </c>
      <c r="H85" s="214"/>
      <c r="I85" s="211"/>
      <c r="J85" s="214"/>
      <c r="K85" s="214"/>
      <c r="L85" s="214">
        <v>0</v>
      </c>
      <c r="M85" s="214"/>
      <c r="N85" s="214"/>
      <c r="O85" s="214"/>
      <c r="P85" s="214">
        <v>350</v>
      </c>
      <c r="Q85" s="214"/>
      <c r="R85" s="214"/>
      <c r="S85" s="214">
        <v>0</v>
      </c>
      <c r="T85" s="214">
        <v>0</v>
      </c>
      <c r="U85" s="214"/>
      <c r="V85" s="214">
        <v>0</v>
      </c>
      <c r="W85" s="214">
        <v>75000</v>
      </c>
      <c r="X85" s="214"/>
      <c r="Y85" s="214"/>
      <c r="Z85" s="214">
        <v>0</v>
      </c>
      <c r="AA85" s="231"/>
      <c r="AB85" s="239">
        <f t="shared" ref="AB85:AB88" si="162">SUM(C85:AA85)</f>
        <v>80383.600000000006</v>
      </c>
      <c r="AD85" s="147"/>
      <c r="AE85" s="147"/>
    </row>
    <row r="86" spans="1:31" x14ac:dyDescent="0.2">
      <c r="A86" s="210" t="s">
        <v>172</v>
      </c>
      <c r="B86" s="168" t="s">
        <v>173</v>
      </c>
      <c r="C86" s="214"/>
      <c r="D86" s="214"/>
      <c r="E86" s="214"/>
      <c r="F86" s="214"/>
      <c r="G86" s="214"/>
      <c r="H86" s="214"/>
      <c r="I86" s="211"/>
      <c r="J86" s="214"/>
      <c r="K86" s="214"/>
      <c r="L86" s="214">
        <v>0</v>
      </c>
      <c r="M86" s="214"/>
      <c r="N86" s="214"/>
      <c r="O86" s="214"/>
      <c r="P86" s="214"/>
      <c r="Q86" s="214"/>
      <c r="R86" s="214"/>
      <c r="S86" s="214">
        <v>0</v>
      </c>
      <c r="T86" s="214">
        <v>0</v>
      </c>
      <c r="U86" s="214"/>
      <c r="V86" s="214">
        <v>0</v>
      </c>
      <c r="W86" s="214"/>
      <c r="X86" s="214"/>
      <c r="Y86" s="214"/>
      <c r="Z86" s="214">
        <v>0</v>
      </c>
      <c r="AA86" s="231"/>
      <c r="AB86" s="239">
        <f t="shared" si="162"/>
        <v>0</v>
      </c>
      <c r="AD86" s="147"/>
      <c r="AE86" s="147"/>
    </row>
    <row r="87" spans="1:31" x14ac:dyDescent="0.2">
      <c r="A87" s="210" t="s">
        <v>174</v>
      </c>
      <c r="B87" s="168" t="s">
        <v>175</v>
      </c>
      <c r="C87" s="214"/>
      <c r="D87" s="214"/>
      <c r="E87" s="214"/>
      <c r="F87" s="214"/>
      <c r="G87" s="214"/>
      <c r="H87" s="214"/>
      <c r="I87" s="211"/>
      <c r="J87" s="214"/>
      <c r="K87" s="214"/>
      <c r="L87" s="214">
        <v>0</v>
      </c>
      <c r="M87" s="214"/>
      <c r="N87" s="214"/>
      <c r="O87" s="214"/>
      <c r="P87" s="214"/>
      <c r="Q87" s="214"/>
      <c r="R87" s="214"/>
      <c r="S87" s="214">
        <v>0</v>
      </c>
      <c r="T87" s="214">
        <v>0</v>
      </c>
      <c r="U87" s="214"/>
      <c r="V87" s="214">
        <v>0</v>
      </c>
      <c r="W87" s="214"/>
      <c r="X87" s="214"/>
      <c r="Y87" s="214"/>
      <c r="Z87" s="214">
        <v>0</v>
      </c>
      <c r="AA87" s="231"/>
      <c r="AB87" s="239">
        <f t="shared" si="162"/>
        <v>0</v>
      </c>
      <c r="AD87" s="147"/>
      <c r="AE87" s="147"/>
    </row>
    <row r="88" spans="1:31" x14ac:dyDescent="0.2">
      <c r="A88" s="210" t="s">
        <v>176</v>
      </c>
      <c r="B88" s="168" t="s">
        <v>177</v>
      </c>
      <c r="C88" s="214"/>
      <c r="D88" s="214"/>
      <c r="E88" s="214"/>
      <c r="F88" s="214"/>
      <c r="G88" s="214"/>
      <c r="H88" s="214">
        <v>80000</v>
      </c>
      <c r="I88" s="211"/>
      <c r="J88" s="214"/>
      <c r="K88" s="214"/>
      <c r="L88" s="214">
        <v>0</v>
      </c>
      <c r="M88" s="214"/>
      <c r="N88" s="214"/>
      <c r="O88" s="214"/>
      <c r="P88" s="214"/>
      <c r="Q88" s="214"/>
      <c r="R88" s="214"/>
      <c r="S88" s="214">
        <v>0</v>
      </c>
      <c r="T88" s="214">
        <v>0</v>
      </c>
      <c r="U88" s="214"/>
      <c r="V88" s="214">
        <v>0</v>
      </c>
      <c r="W88" s="214"/>
      <c r="X88" s="214"/>
      <c r="Y88" s="214"/>
      <c r="Z88" s="214">
        <v>0</v>
      </c>
      <c r="AA88" s="231"/>
      <c r="AB88" s="239">
        <f t="shared" si="162"/>
        <v>80000</v>
      </c>
      <c r="AD88" s="147"/>
      <c r="AE88" s="147"/>
    </row>
    <row r="89" spans="1:31" x14ac:dyDescent="0.2">
      <c r="A89" s="199" t="s">
        <v>178</v>
      </c>
      <c r="B89" s="157" t="s">
        <v>179</v>
      </c>
      <c r="C89" s="200">
        <f t="shared" ref="C89" si="163">+C90+C93+C96</f>
        <v>103048.70000000001</v>
      </c>
      <c r="D89" s="200">
        <f t="shared" ref="D89:E89" si="164">+D90+D93+D96</f>
        <v>5448124.6999999993</v>
      </c>
      <c r="E89" s="200">
        <f t="shared" si="164"/>
        <v>2719902.36</v>
      </c>
      <c r="F89" s="200">
        <f t="shared" ref="F89:R89" si="165">+F90+F93+F96</f>
        <v>4079606.95</v>
      </c>
      <c r="G89" s="200">
        <f t="shared" si="165"/>
        <v>3696637.34</v>
      </c>
      <c r="H89" s="200">
        <f t="shared" si="165"/>
        <v>3112047.3600000003</v>
      </c>
      <c r="I89" s="220">
        <f t="shared" si="165"/>
        <v>2730659.61</v>
      </c>
      <c r="J89" s="200">
        <f t="shared" si="165"/>
        <v>117377.13</v>
      </c>
      <c r="K89" s="200">
        <f t="shared" si="165"/>
        <v>3443290.2</v>
      </c>
      <c r="L89" s="200">
        <f t="shared" si="165"/>
        <v>753949.62</v>
      </c>
      <c r="M89" s="200">
        <f t="shared" si="165"/>
        <v>891106.31</v>
      </c>
      <c r="N89" s="200">
        <f t="shared" si="165"/>
        <v>141308.29999999999</v>
      </c>
      <c r="O89" s="200">
        <f t="shared" si="165"/>
        <v>3494758.25</v>
      </c>
      <c r="P89" s="200">
        <f t="shared" si="165"/>
        <v>23081.11</v>
      </c>
      <c r="Q89" s="200">
        <f t="shared" si="165"/>
        <v>575812.05000000005</v>
      </c>
      <c r="R89" s="200">
        <f t="shared" si="165"/>
        <v>78506.350000000006</v>
      </c>
      <c r="S89" s="200">
        <f>+S90+S93+S96</f>
        <v>2370650.33</v>
      </c>
      <c r="T89" s="200">
        <f>+T90+T93+T96</f>
        <v>4874007.6400000006</v>
      </c>
      <c r="U89" s="200">
        <f t="shared" ref="U89:V89" si="166">+U90+U93+U96</f>
        <v>2586961.2200000002</v>
      </c>
      <c r="V89" s="200">
        <f t="shared" si="166"/>
        <v>1678615.02</v>
      </c>
      <c r="W89" s="200">
        <f t="shared" ref="W89:Y89" si="167">+W90+W93+W96</f>
        <v>3847731.7800000003</v>
      </c>
      <c r="X89" s="200">
        <f t="shared" si="167"/>
        <v>83481.75</v>
      </c>
      <c r="Y89" s="201">
        <f t="shared" si="167"/>
        <v>40619.699999999997</v>
      </c>
      <c r="Z89" s="201">
        <v>543666.72</v>
      </c>
      <c r="AA89" s="228">
        <f>SUM(AA90+AA93+AA96)</f>
        <v>0</v>
      </c>
      <c r="AB89" s="236">
        <f>+AB90+AB93+AB96</f>
        <v>47434950.5</v>
      </c>
      <c r="AD89" s="147"/>
      <c r="AE89" s="147"/>
    </row>
    <row r="90" spans="1:31" x14ac:dyDescent="0.2">
      <c r="A90" s="223">
        <v>461</v>
      </c>
      <c r="B90" s="163" t="s">
        <v>180</v>
      </c>
      <c r="C90" s="208">
        <f t="shared" ref="C90" si="168">SUM(C91:C92)</f>
        <v>60135.91</v>
      </c>
      <c r="D90" s="208">
        <f t="shared" ref="D90:E90" si="169">SUM(D91:D92)</f>
        <v>3243913.61</v>
      </c>
      <c r="E90" s="208">
        <f t="shared" si="169"/>
        <v>250596</v>
      </c>
      <c r="F90" s="208">
        <f t="shared" ref="F90:R90" si="170">SUM(F91:F92)</f>
        <v>1154731.9600000002</v>
      </c>
      <c r="G90" s="208">
        <f t="shared" ref="G90" si="171">SUM(G91:G92)</f>
        <v>0</v>
      </c>
      <c r="H90" s="208">
        <f t="shared" si="170"/>
        <v>1365309.5</v>
      </c>
      <c r="I90" s="213">
        <f t="shared" ref="I90" si="172">SUM(I91:I92)</f>
        <v>1156405.67</v>
      </c>
      <c r="J90" s="208">
        <f t="shared" si="170"/>
        <v>45000</v>
      </c>
      <c r="K90" s="208">
        <f t="shared" ref="K90" si="173">SUM(K91:K92)</f>
        <v>2080035.7</v>
      </c>
      <c r="L90" s="208">
        <f t="shared" ref="L90" si="174">SUM(L91:L92)</f>
        <v>457124.17</v>
      </c>
      <c r="M90" s="208">
        <f t="shared" ref="M90" si="175">SUM(M91:M92)</f>
        <v>231631.16</v>
      </c>
      <c r="N90" s="208">
        <f t="shared" ref="N90" si="176">SUM(N91:N92)</f>
        <v>0</v>
      </c>
      <c r="O90" s="208">
        <f t="shared" si="170"/>
        <v>1223232.06</v>
      </c>
      <c r="P90" s="208">
        <f t="shared" ref="P90" si="177">SUM(P91:P92)</f>
        <v>0</v>
      </c>
      <c r="Q90" s="208">
        <f t="shared" si="170"/>
        <v>198335.28</v>
      </c>
      <c r="R90" s="208">
        <f t="shared" si="170"/>
        <v>0</v>
      </c>
      <c r="S90" s="208">
        <f>SUM(S91:S92)</f>
        <v>155052.01999999999</v>
      </c>
      <c r="T90" s="208">
        <f t="shared" ref="T90" si="178">SUM(T91:T92)</f>
        <v>3005519.7800000003</v>
      </c>
      <c r="U90" s="208">
        <f t="shared" ref="U90:V90" si="179">SUM(U91:U92)</f>
        <v>654632.15</v>
      </c>
      <c r="V90" s="208">
        <f t="shared" si="179"/>
        <v>1585383.28</v>
      </c>
      <c r="W90" s="208">
        <f t="shared" ref="W90" si="180">SUM(W91:W92)</f>
        <v>1689335.8800000001</v>
      </c>
      <c r="X90" s="208">
        <f t="shared" ref="X90:Y90" si="181">SUM(X91:X92)</f>
        <v>0</v>
      </c>
      <c r="Y90" s="208">
        <f t="shared" si="181"/>
        <v>0</v>
      </c>
      <c r="Z90" s="208">
        <v>543666.72</v>
      </c>
      <c r="AA90" s="230">
        <f>SUM(AA91:AA92)</f>
        <v>0</v>
      </c>
      <c r="AB90" s="238">
        <f>SUM(AB91:AB92)</f>
        <v>19100040.849999998</v>
      </c>
      <c r="AD90" s="147"/>
      <c r="AE90" s="147"/>
    </row>
    <row r="91" spans="1:31" x14ac:dyDescent="0.2">
      <c r="A91" s="210" t="s">
        <v>181</v>
      </c>
      <c r="B91" s="168" t="s">
        <v>182</v>
      </c>
      <c r="C91" s="211">
        <v>60135.91</v>
      </c>
      <c r="D91" s="211">
        <v>3243913.61</v>
      </c>
      <c r="E91" s="211">
        <v>250596</v>
      </c>
      <c r="F91" s="211">
        <v>1154731.9600000002</v>
      </c>
      <c r="G91" s="211"/>
      <c r="H91" s="211">
        <v>1365309.5</v>
      </c>
      <c r="I91" s="211">
        <v>1156405.67</v>
      </c>
      <c r="J91" s="211">
        <v>45000</v>
      </c>
      <c r="K91" s="211">
        <v>2080035.7</v>
      </c>
      <c r="L91" s="211">
        <v>457124.17</v>
      </c>
      <c r="M91" s="211">
        <v>231631.16</v>
      </c>
      <c r="N91" s="211"/>
      <c r="O91" s="211">
        <v>526085.16</v>
      </c>
      <c r="P91" s="211"/>
      <c r="Q91" s="211">
        <v>198335.28</v>
      </c>
      <c r="R91" s="211"/>
      <c r="S91" s="211"/>
      <c r="T91" s="211">
        <v>1937265.58</v>
      </c>
      <c r="U91" s="211">
        <v>654632.15</v>
      </c>
      <c r="V91" s="212">
        <v>1585383.28</v>
      </c>
      <c r="W91" s="211">
        <v>619257.03</v>
      </c>
      <c r="X91" s="211"/>
      <c r="Y91" s="211"/>
      <c r="Z91" s="211">
        <v>543666.72</v>
      </c>
      <c r="AA91" s="231"/>
      <c r="AB91" s="239">
        <f t="shared" ref="AB91:AB102" si="182">SUM(C91:AA91)</f>
        <v>16109508.879999999</v>
      </c>
      <c r="AD91" s="147"/>
      <c r="AE91" s="147"/>
    </row>
    <row r="92" spans="1:31" x14ac:dyDescent="0.2">
      <c r="A92" s="210" t="s">
        <v>183</v>
      </c>
      <c r="B92" s="168" t="s">
        <v>184</v>
      </c>
      <c r="C92" s="214"/>
      <c r="D92" s="214"/>
      <c r="E92" s="214"/>
      <c r="F92" s="214"/>
      <c r="G92" s="214"/>
      <c r="H92" s="214"/>
      <c r="I92" s="211"/>
      <c r="J92" s="214"/>
      <c r="K92" s="214"/>
      <c r="L92" s="214">
        <v>0</v>
      </c>
      <c r="M92" s="214"/>
      <c r="N92" s="214"/>
      <c r="O92" s="214">
        <v>697146.9</v>
      </c>
      <c r="P92" s="214"/>
      <c r="Q92" s="214"/>
      <c r="R92" s="214"/>
      <c r="S92" s="214">
        <v>155052.01999999999</v>
      </c>
      <c r="T92" s="214">
        <v>1068254.2</v>
      </c>
      <c r="U92" s="214"/>
      <c r="V92" s="214">
        <v>0</v>
      </c>
      <c r="W92" s="214">
        <v>1070078.8500000001</v>
      </c>
      <c r="X92" s="214"/>
      <c r="Y92" s="214"/>
      <c r="Z92" s="214">
        <v>0</v>
      </c>
      <c r="AA92" s="231"/>
      <c r="AB92" s="239">
        <f t="shared" si="182"/>
        <v>2990531.97</v>
      </c>
      <c r="AD92" s="147"/>
      <c r="AE92" s="147"/>
    </row>
    <row r="93" spans="1:31" x14ac:dyDescent="0.2">
      <c r="A93" s="223">
        <v>462</v>
      </c>
      <c r="B93" s="163" t="s">
        <v>185</v>
      </c>
      <c r="C93" s="208">
        <f t="shared" ref="C93" si="183">SUM(C94:C95)</f>
        <v>0</v>
      </c>
      <c r="D93" s="208">
        <f t="shared" ref="D93:E93" si="184">SUM(D94:D95)</f>
        <v>0</v>
      </c>
      <c r="E93" s="208">
        <f t="shared" si="184"/>
        <v>0</v>
      </c>
      <c r="F93" s="208">
        <f t="shared" ref="F93:W93" si="185">SUM(F94:F95)</f>
        <v>0</v>
      </c>
      <c r="G93" s="208">
        <f t="shared" ref="G93" si="186">SUM(G94:G95)</f>
        <v>0</v>
      </c>
      <c r="H93" s="208">
        <f t="shared" si="185"/>
        <v>0</v>
      </c>
      <c r="I93" s="213">
        <f t="shared" ref="I93" si="187">SUM(I94:I95)</f>
        <v>0</v>
      </c>
      <c r="J93" s="208">
        <f t="shared" si="185"/>
        <v>0</v>
      </c>
      <c r="K93" s="208">
        <f t="shared" ref="K93" si="188">SUM(K94:K95)</f>
        <v>0</v>
      </c>
      <c r="L93" s="208">
        <f t="shared" ref="L93" si="189">SUM(L94:L95)</f>
        <v>20000</v>
      </c>
      <c r="M93" s="208">
        <f t="shared" ref="M93" si="190">SUM(M94:M95)</f>
        <v>0</v>
      </c>
      <c r="N93" s="208">
        <f>SUM(N94:N95)</f>
        <v>0</v>
      </c>
      <c r="O93" s="208">
        <f t="shared" si="185"/>
        <v>0</v>
      </c>
      <c r="P93" s="208">
        <f t="shared" ref="P93" si="191">SUM(P94:P95)</f>
        <v>0</v>
      </c>
      <c r="Q93" s="208">
        <f t="shared" si="185"/>
        <v>0</v>
      </c>
      <c r="R93" s="208">
        <f t="shared" si="185"/>
        <v>0</v>
      </c>
      <c r="S93" s="208">
        <f>SUM(S94:S95)</f>
        <v>0</v>
      </c>
      <c r="T93" s="208">
        <f t="shared" ref="T93" si="192">SUM(T94:T95)</f>
        <v>0</v>
      </c>
      <c r="U93" s="208">
        <f t="shared" ref="U93:V93" si="193">SUM(U94:U95)</f>
        <v>0</v>
      </c>
      <c r="V93" s="208">
        <f t="shared" si="193"/>
        <v>0</v>
      </c>
      <c r="W93" s="208">
        <f t="shared" si="185"/>
        <v>0</v>
      </c>
      <c r="X93" s="208">
        <f t="shared" ref="X93:Y93" si="194">SUM(X94:X95)</f>
        <v>0</v>
      </c>
      <c r="Y93" s="208">
        <f t="shared" si="194"/>
        <v>0</v>
      </c>
      <c r="Z93" s="208">
        <v>0</v>
      </c>
      <c r="AA93" s="230">
        <f>SUM(AA94:AA95)</f>
        <v>0</v>
      </c>
      <c r="AB93" s="238">
        <f>SUM(AB94:AB95)</f>
        <v>20000</v>
      </c>
      <c r="AD93" s="147"/>
      <c r="AE93" s="147"/>
    </row>
    <row r="94" spans="1:31" x14ac:dyDescent="0.2">
      <c r="A94" s="210" t="s">
        <v>186</v>
      </c>
      <c r="B94" s="168" t="s">
        <v>187</v>
      </c>
      <c r="C94" s="214"/>
      <c r="D94" s="214"/>
      <c r="E94" s="214"/>
      <c r="F94" s="214"/>
      <c r="G94" s="214"/>
      <c r="H94" s="214"/>
      <c r="I94" s="211"/>
      <c r="J94" s="214"/>
      <c r="K94" s="214"/>
      <c r="L94" s="214">
        <v>20000</v>
      </c>
      <c r="M94" s="214"/>
      <c r="N94" s="214"/>
      <c r="O94" s="214"/>
      <c r="P94" s="214"/>
      <c r="Q94" s="214"/>
      <c r="R94" s="214"/>
      <c r="S94" s="214">
        <v>0</v>
      </c>
      <c r="T94" s="214">
        <v>0</v>
      </c>
      <c r="U94" s="214"/>
      <c r="V94" s="214">
        <v>0</v>
      </c>
      <c r="W94" s="214"/>
      <c r="X94" s="214"/>
      <c r="Y94" s="214"/>
      <c r="Z94" s="214">
        <v>0</v>
      </c>
      <c r="AA94" s="231"/>
      <c r="AB94" s="239">
        <f t="shared" si="182"/>
        <v>20000</v>
      </c>
      <c r="AD94" s="147"/>
      <c r="AE94" s="147"/>
    </row>
    <row r="95" spans="1:31" x14ac:dyDescent="0.2">
      <c r="A95" s="210" t="s">
        <v>188</v>
      </c>
      <c r="B95" s="168" t="s">
        <v>189</v>
      </c>
      <c r="C95" s="214"/>
      <c r="D95" s="214"/>
      <c r="E95" s="214"/>
      <c r="F95" s="214"/>
      <c r="G95" s="214"/>
      <c r="H95" s="214"/>
      <c r="I95" s="211"/>
      <c r="J95" s="214"/>
      <c r="K95" s="214"/>
      <c r="L95" s="214">
        <v>0</v>
      </c>
      <c r="M95" s="214"/>
      <c r="N95" s="214"/>
      <c r="O95" s="214"/>
      <c r="P95" s="214"/>
      <c r="Q95" s="214"/>
      <c r="R95" s="214"/>
      <c r="S95" s="214">
        <v>0</v>
      </c>
      <c r="T95" s="214">
        <v>0</v>
      </c>
      <c r="U95" s="214"/>
      <c r="V95" s="214">
        <v>0</v>
      </c>
      <c r="W95" s="214"/>
      <c r="X95" s="214"/>
      <c r="Y95" s="214"/>
      <c r="Z95" s="214">
        <v>0</v>
      </c>
      <c r="AA95" s="231"/>
      <c r="AB95" s="239">
        <f t="shared" si="182"/>
        <v>0</v>
      </c>
      <c r="AD95" s="147"/>
      <c r="AE95" s="147"/>
    </row>
    <row r="96" spans="1:31" x14ac:dyDescent="0.2">
      <c r="A96" s="223">
        <v>463</v>
      </c>
      <c r="B96" s="163" t="s">
        <v>190</v>
      </c>
      <c r="C96" s="208">
        <f t="shared" ref="C96" si="195">SUM(C97:C98)</f>
        <v>42912.79</v>
      </c>
      <c r="D96" s="208">
        <f t="shared" ref="D96:E96" si="196">SUM(D97:D98)</f>
        <v>2204211.09</v>
      </c>
      <c r="E96" s="208">
        <f t="shared" si="196"/>
        <v>2469306.36</v>
      </c>
      <c r="F96" s="208">
        <f t="shared" ref="F96:W96" si="197">SUM(F97:F98)</f>
        <v>2924874.9899999998</v>
      </c>
      <c r="G96" s="208">
        <f t="shared" ref="G96" si="198">SUM(G97:G98)</f>
        <v>3696637.34</v>
      </c>
      <c r="H96" s="208">
        <f t="shared" si="197"/>
        <v>1746737.86</v>
      </c>
      <c r="I96" s="213">
        <f t="shared" ref="I96" si="199">SUM(I97:I98)</f>
        <v>1574253.94</v>
      </c>
      <c r="J96" s="208">
        <f t="shared" si="197"/>
        <v>72377.13</v>
      </c>
      <c r="K96" s="208">
        <f t="shared" ref="K96" si="200">SUM(K97:K98)</f>
        <v>1363254.5</v>
      </c>
      <c r="L96" s="208">
        <f t="shared" ref="L96" si="201">SUM(L97:L98)</f>
        <v>276825.45</v>
      </c>
      <c r="M96" s="208">
        <f t="shared" ref="M96" si="202">SUM(M97:M98)</f>
        <v>659475.15</v>
      </c>
      <c r="N96" s="208">
        <f t="shared" ref="N96" si="203">SUM(N97:N98)</f>
        <v>141308.29999999999</v>
      </c>
      <c r="O96" s="208">
        <f t="shared" si="197"/>
        <v>2271526.19</v>
      </c>
      <c r="P96" s="208">
        <f t="shared" ref="P96" si="204">SUM(P97:P98)</f>
        <v>23081.11</v>
      </c>
      <c r="Q96" s="208">
        <f t="shared" si="197"/>
        <v>377476.77</v>
      </c>
      <c r="R96" s="208">
        <f t="shared" si="197"/>
        <v>78506.350000000006</v>
      </c>
      <c r="S96" s="208">
        <f>S97+S98</f>
        <v>2215598.31</v>
      </c>
      <c r="T96" s="208">
        <f t="shared" ref="T96" si="205">SUM(T97:T98)</f>
        <v>1868487.8599999999</v>
      </c>
      <c r="U96" s="208">
        <f t="shared" ref="U96:V96" si="206">SUM(U97:U98)</f>
        <v>1932329.07</v>
      </c>
      <c r="V96" s="208">
        <f t="shared" si="206"/>
        <v>93231.74</v>
      </c>
      <c r="W96" s="208">
        <f t="shared" si="197"/>
        <v>2158395.9</v>
      </c>
      <c r="X96" s="208">
        <f t="shared" ref="X96:Y96" si="207">SUM(X97:X98)</f>
        <v>83481.75</v>
      </c>
      <c r="Y96" s="208">
        <f t="shared" si="207"/>
        <v>40619.699999999997</v>
      </c>
      <c r="Z96" s="208">
        <v>0</v>
      </c>
      <c r="AA96" s="230">
        <f>SUM(AA97:AA98)</f>
        <v>0</v>
      </c>
      <c r="AB96" s="238">
        <f>SUM(AB97:AB98)</f>
        <v>28314909.649999999</v>
      </c>
      <c r="AD96" s="147"/>
      <c r="AE96" s="147"/>
    </row>
    <row r="97" spans="1:31" x14ac:dyDescent="0.2">
      <c r="A97" s="210" t="s">
        <v>191</v>
      </c>
      <c r="B97" s="168" t="s">
        <v>190</v>
      </c>
      <c r="C97" s="211">
        <v>19013.2</v>
      </c>
      <c r="D97" s="211">
        <v>2204211.09</v>
      </c>
      <c r="E97" s="211">
        <v>2469306.36</v>
      </c>
      <c r="F97" s="211">
        <v>2924874.9899999998</v>
      </c>
      <c r="G97" s="211">
        <v>3696637.34</v>
      </c>
      <c r="H97" s="211">
        <v>1746737.86</v>
      </c>
      <c r="I97" s="211">
        <v>1574253.94</v>
      </c>
      <c r="J97" s="211">
        <v>72377.13</v>
      </c>
      <c r="K97" s="211">
        <v>1363254.5</v>
      </c>
      <c r="L97" s="211">
        <v>276825.45</v>
      </c>
      <c r="M97" s="211">
        <v>659475.15</v>
      </c>
      <c r="N97" s="211">
        <v>141308.29999999999</v>
      </c>
      <c r="O97" s="211">
        <v>2271526.19</v>
      </c>
      <c r="P97" s="211">
        <v>23081.11</v>
      </c>
      <c r="Q97" s="211">
        <v>377476.77</v>
      </c>
      <c r="R97" s="211">
        <v>78506.350000000006</v>
      </c>
      <c r="S97" s="211">
        <v>2215598.31</v>
      </c>
      <c r="T97" s="211">
        <v>28506.98</v>
      </c>
      <c r="U97" s="211">
        <v>1932329.07</v>
      </c>
      <c r="V97" s="211">
        <v>93231.74</v>
      </c>
      <c r="W97" s="211">
        <v>2158395.9</v>
      </c>
      <c r="X97" s="211">
        <v>83481.75</v>
      </c>
      <c r="Y97" s="211">
        <v>35645.64</v>
      </c>
      <c r="Z97" s="211">
        <v>0</v>
      </c>
      <c r="AA97" s="231"/>
      <c r="AB97" s="239">
        <f t="shared" si="182"/>
        <v>26446055.119999997</v>
      </c>
      <c r="AD97" s="147"/>
      <c r="AE97" s="147"/>
    </row>
    <row r="98" spans="1:31" x14ac:dyDescent="0.2">
      <c r="A98" s="210" t="s">
        <v>192</v>
      </c>
      <c r="B98" s="168" t="s">
        <v>193</v>
      </c>
      <c r="C98" s="214">
        <v>23899.59</v>
      </c>
      <c r="D98" s="214"/>
      <c r="E98" s="214"/>
      <c r="F98" s="214"/>
      <c r="G98" s="214"/>
      <c r="H98" s="214"/>
      <c r="I98" s="211"/>
      <c r="J98" s="214"/>
      <c r="K98" s="214"/>
      <c r="L98" s="214">
        <v>0</v>
      </c>
      <c r="M98" s="214"/>
      <c r="N98" s="214"/>
      <c r="O98" s="214"/>
      <c r="P98" s="214">
        <v>0</v>
      </c>
      <c r="Q98" s="214"/>
      <c r="R98" s="214"/>
      <c r="S98" s="214"/>
      <c r="T98" s="214">
        <v>1839980.88</v>
      </c>
      <c r="U98" s="214"/>
      <c r="V98" s="214">
        <v>0</v>
      </c>
      <c r="W98" s="214"/>
      <c r="X98" s="214"/>
      <c r="Y98" s="214">
        <v>4974.0600000000004</v>
      </c>
      <c r="Z98" s="214">
        <v>0</v>
      </c>
      <c r="AA98" s="231"/>
      <c r="AB98" s="239">
        <f t="shared" si="182"/>
        <v>1868854.53</v>
      </c>
      <c r="AD98" s="147"/>
      <c r="AE98" s="147"/>
    </row>
    <row r="99" spans="1:31" x14ac:dyDescent="0.2">
      <c r="A99" s="199" t="s">
        <v>194</v>
      </c>
      <c r="B99" s="157" t="s">
        <v>195</v>
      </c>
      <c r="C99" s="200">
        <f t="shared" ref="C99" si="208">SUM(C100:C102)</f>
        <v>90651.88</v>
      </c>
      <c r="D99" s="200">
        <f t="shared" ref="D99:E99" si="209">SUM(D100:D102)</f>
        <v>328626.68</v>
      </c>
      <c r="E99" s="200">
        <f t="shared" si="209"/>
        <v>338551.94</v>
      </c>
      <c r="F99" s="200">
        <f t="shared" ref="F99:W99" si="210">SUM(F100:F102)</f>
        <v>56431.05</v>
      </c>
      <c r="G99" s="200">
        <f t="shared" ref="G99" si="211">SUM(G100:G102)</f>
        <v>489381.47</v>
      </c>
      <c r="H99" s="200">
        <f t="shared" si="210"/>
        <v>158111.44</v>
      </c>
      <c r="I99" s="220">
        <f t="shared" ref="I99" si="212">SUM(I100:I102)</f>
        <v>88212.35</v>
      </c>
      <c r="J99" s="200">
        <f t="shared" si="210"/>
        <v>0</v>
      </c>
      <c r="K99" s="200">
        <f t="shared" ref="K99" si="213">SUM(K100:K102)</f>
        <v>48463.21</v>
      </c>
      <c r="L99" s="200">
        <f t="shared" ref="L99" si="214">SUM(L100:L102)</f>
        <v>93481.7</v>
      </c>
      <c r="M99" s="200">
        <f t="shared" ref="M99" si="215">SUM(M100:M102)</f>
        <v>106966.03</v>
      </c>
      <c r="N99" s="200">
        <f t="shared" ref="N99" si="216">SUM(N100:N102)</f>
        <v>59567.13</v>
      </c>
      <c r="O99" s="200">
        <f t="shared" si="210"/>
        <v>781305.33</v>
      </c>
      <c r="P99" s="200">
        <f t="shared" ref="P99" si="217">SUM(P100:P102)</f>
        <v>22660.29</v>
      </c>
      <c r="Q99" s="200">
        <f t="shared" si="210"/>
        <v>13881.1</v>
      </c>
      <c r="R99" s="200">
        <f t="shared" si="210"/>
        <v>182030.69</v>
      </c>
      <c r="S99" s="200">
        <f>SUM(S100:S102)</f>
        <v>248620.72</v>
      </c>
      <c r="T99" s="200">
        <f t="shared" ref="T99" si="218">SUM(T100:T102)</f>
        <v>641387.99</v>
      </c>
      <c r="U99" s="200">
        <f t="shared" ref="U99:V99" si="219">SUM(U100:U102)</f>
        <v>175085.23</v>
      </c>
      <c r="V99" s="200">
        <f t="shared" si="219"/>
        <v>228134.23</v>
      </c>
      <c r="W99" s="200">
        <f t="shared" si="210"/>
        <v>167851.36</v>
      </c>
      <c r="X99" s="200">
        <f t="shared" ref="X99:Y99" si="220">SUM(X100:X102)</f>
        <v>18500</v>
      </c>
      <c r="Y99" s="201">
        <f t="shared" si="220"/>
        <v>58361.919999999998</v>
      </c>
      <c r="Z99" s="201">
        <v>182645.4</v>
      </c>
      <c r="AA99" s="228">
        <f>SUM(AA100:AA102)</f>
        <v>261020</v>
      </c>
      <c r="AB99" s="236">
        <f>SUM(AB100:AB102)</f>
        <v>4839929.1400000006</v>
      </c>
      <c r="AD99" s="147"/>
      <c r="AE99" s="147"/>
    </row>
    <row r="100" spans="1:31" x14ac:dyDescent="0.2">
      <c r="A100" s="210">
        <v>471</v>
      </c>
      <c r="B100" s="168" t="s">
        <v>196</v>
      </c>
      <c r="C100" s="211">
        <v>81901.88</v>
      </c>
      <c r="D100" s="211">
        <v>328626.68</v>
      </c>
      <c r="E100" s="211">
        <v>338551.94</v>
      </c>
      <c r="F100" s="211">
        <v>56431.05</v>
      </c>
      <c r="G100" s="211">
        <v>489381.47</v>
      </c>
      <c r="H100" s="211">
        <v>158111.44</v>
      </c>
      <c r="I100" s="211">
        <v>88212.35</v>
      </c>
      <c r="J100" s="211"/>
      <c r="K100" s="211">
        <v>48463.21</v>
      </c>
      <c r="L100" s="211">
        <v>46320</v>
      </c>
      <c r="M100" s="211">
        <v>85366.03</v>
      </c>
      <c r="N100" s="211">
        <v>59567.13</v>
      </c>
      <c r="O100" s="211">
        <v>781305.33</v>
      </c>
      <c r="P100" s="211">
        <v>22660.29</v>
      </c>
      <c r="Q100" s="211">
        <v>13881.1</v>
      </c>
      <c r="R100" s="211">
        <v>166030.69</v>
      </c>
      <c r="S100" s="211">
        <v>248620.72</v>
      </c>
      <c r="T100" s="211">
        <v>641387.99</v>
      </c>
      <c r="U100" s="211">
        <v>175085.23</v>
      </c>
      <c r="V100" s="211">
        <v>228134.23</v>
      </c>
      <c r="W100" s="211">
        <v>167851.36</v>
      </c>
      <c r="X100" s="211">
        <v>18500</v>
      </c>
      <c r="Y100" s="211">
        <v>58361.919999999998</v>
      </c>
      <c r="Z100" s="211">
        <v>182645.4</v>
      </c>
      <c r="AA100" s="231">
        <v>201020</v>
      </c>
      <c r="AB100" s="239">
        <f t="shared" si="182"/>
        <v>4686417.4400000004</v>
      </c>
      <c r="AD100" s="147"/>
      <c r="AE100" s="147"/>
    </row>
    <row r="101" spans="1:31" x14ac:dyDescent="0.2">
      <c r="A101" s="210">
        <v>472</v>
      </c>
      <c r="B101" s="168" t="s">
        <v>197</v>
      </c>
      <c r="C101" s="214">
        <v>8750</v>
      </c>
      <c r="D101" s="214"/>
      <c r="E101" s="214"/>
      <c r="F101" s="214"/>
      <c r="G101" s="214"/>
      <c r="H101" s="214"/>
      <c r="I101" s="211">
        <v>0</v>
      </c>
      <c r="J101" s="214"/>
      <c r="K101" s="214"/>
      <c r="L101" s="214">
        <v>47161.7</v>
      </c>
      <c r="M101" s="214">
        <v>21600</v>
      </c>
      <c r="N101" s="214"/>
      <c r="O101" s="214"/>
      <c r="P101" s="214">
        <v>0</v>
      </c>
      <c r="Q101" s="214"/>
      <c r="R101" s="214">
        <v>16000</v>
      </c>
      <c r="S101" s="214">
        <v>0</v>
      </c>
      <c r="T101" s="214">
        <v>0</v>
      </c>
      <c r="U101" s="214">
        <v>0</v>
      </c>
      <c r="V101" s="214">
        <v>0</v>
      </c>
      <c r="W101" s="214"/>
      <c r="X101" s="214"/>
      <c r="Y101" s="214"/>
      <c r="Z101" s="214">
        <v>0</v>
      </c>
      <c r="AA101" s="231">
        <v>60000</v>
      </c>
      <c r="AB101" s="239">
        <f t="shared" si="182"/>
        <v>153511.70000000001</v>
      </c>
      <c r="AD101" s="147"/>
      <c r="AE101" s="147"/>
    </row>
    <row r="102" spans="1:31" x14ac:dyDescent="0.2">
      <c r="A102" s="210">
        <v>473</v>
      </c>
      <c r="B102" s="168" t="s">
        <v>198</v>
      </c>
      <c r="C102" s="214"/>
      <c r="D102" s="214"/>
      <c r="E102" s="214"/>
      <c r="F102" s="214"/>
      <c r="G102" s="214"/>
      <c r="H102" s="214"/>
      <c r="I102" s="211"/>
      <c r="J102" s="214"/>
      <c r="K102" s="214"/>
      <c r="L102" s="214">
        <v>0</v>
      </c>
      <c r="M102" s="214"/>
      <c r="N102" s="214"/>
      <c r="O102" s="214"/>
      <c r="P102" s="214"/>
      <c r="Q102" s="214"/>
      <c r="R102" s="214"/>
      <c r="S102" s="214">
        <v>0</v>
      </c>
      <c r="T102" s="214">
        <v>0</v>
      </c>
      <c r="U102" s="214"/>
      <c r="V102" s="214">
        <v>0</v>
      </c>
      <c r="W102" s="214"/>
      <c r="X102" s="214"/>
      <c r="Y102" s="214"/>
      <c r="Z102" s="214">
        <v>0</v>
      </c>
      <c r="AA102" s="231"/>
      <c r="AB102" s="239">
        <f t="shared" si="182"/>
        <v>0</v>
      </c>
      <c r="AD102" s="147"/>
      <c r="AE102" s="147"/>
    </row>
    <row r="103" spans="1:31" x14ac:dyDescent="0.2">
      <c r="A103" s="272" t="s">
        <v>199</v>
      </c>
      <c r="B103" s="273"/>
      <c r="C103" s="224">
        <f t="shared" ref="C103" si="221">C3+C74+C83+C89+C99</f>
        <v>4027132.1000000006</v>
      </c>
      <c r="D103" s="224">
        <f t="shared" ref="D103:E103" si="222">D3+D74+D83+D89+D99</f>
        <v>40210212.614799999</v>
      </c>
      <c r="E103" s="224">
        <f t="shared" si="222"/>
        <v>15977140.439999999</v>
      </c>
      <c r="F103" s="224">
        <f t="shared" ref="F103:X103" si="223">F3+F74+F83+F89+F99</f>
        <v>20542940.699999999</v>
      </c>
      <c r="G103" s="224">
        <f t="shared" si="223"/>
        <v>55762755.319999993</v>
      </c>
      <c r="H103" s="224">
        <f t="shared" si="223"/>
        <v>13224675.950000001</v>
      </c>
      <c r="I103" s="225">
        <f t="shared" si="223"/>
        <v>9328911.8599999994</v>
      </c>
      <c r="J103" s="224">
        <f t="shared" si="223"/>
        <v>3594559.92</v>
      </c>
      <c r="K103" s="224">
        <f t="shared" si="223"/>
        <v>31616220.699999999</v>
      </c>
      <c r="L103" s="224">
        <f t="shared" si="223"/>
        <v>9218106.5699999984</v>
      </c>
      <c r="M103" s="224">
        <f t="shared" si="223"/>
        <v>33689999.340000004</v>
      </c>
      <c r="N103" s="224">
        <f t="shared" si="223"/>
        <v>4977493.99</v>
      </c>
      <c r="O103" s="224">
        <f t="shared" si="223"/>
        <v>37192845.270000003</v>
      </c>
      <c r="P103" s="224">
        <f>P3+P74+P83+P89+P99</f>
        <v>2525583.0300000003</v>
      </c>
      <c r="Q103" s="224">
        <f t="shared" si="223"/>
        <v>7265228.4299999988</v>
      </c>
      <c r="R103" s="224">
        <f t="shared" si="223"/>
        <v>7865272.4299999988</v>
      </c>
      <c r="S103" s="224">
        <f>S3+S74+S83+S89+S99</f>
        <v>27545487.990000002</v>
      </c>
      <c r="T103" s="224">
        <f t="shared" ref="T103:V103" si="224">T3+T74+T83+T89+T99</f>
        <v>125575399.91999999</v>
      </c>
      <c r="U103" s="224">
        <f t="shared" si="224"/>
        <v>11805401.500000002</v>
      </c>
      <c r="V103" s="224">
        <f t="shared" si="224"/>
        <v>24865348.329999998</v>
      </c>
      <c r="W103" s="224">
        <f t="shared" si="223"/>
        <v>16467226.609999999</v>
      </c>
      <c r="X103" s="224">
        <f t="shared" si="223"/>
        <v>5427020.1600000001</v>
      </c>
      <c r="Y103" s="226">
        <f>Y3+Y74+Y83+Y89+Y99</f>
        <v>3007433.2199999997</v>
      </c>
      <c r="Z103" s="226">
        <f>SUM(Z3,Z74,Z83,Z89,Z99)</f>
        <v>8034089.5699999994</v>
      </c>
      <c r="AA103" s="234">
        <f>SUM(AA3+AA74+AA83+AA89+AA99)</f>
        <v>11830000</v>
      </c>
      <c r="AB103" s="242">
        <f>AB3+AB74+AB83+AB89+AB99</f>
        <v>531576485.96480006</v>
      </c>
      <c r="AD103" s="147"/>
      <c r="AE103" s="147"/>
    </row>
    <row r="104" spans="1:31" x14ac:dyDescent="0.2">
      <c r="AA104" s="192"/>
    </row>
    <row r="105" spans="1:31" x14ac:dyDescent="0.2">
      <c r="AA105" s="194"/>
    </row>
    <row r="107" spans="1:31" x14ac:dyDescent="0.2">
      <c r="AA107" s="192"/>
      <c r="AB107" s="147"/>
    </row>
    <row r="109" spans="1:31" x14ac:dyDescent="0.2">
      <c r="AA109" s="192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26 AB36 AB41 A5:B5 B2:G2 X2:Z2 A3:B3" formula="1"/>
    <ignoredError sqref="AB103 AB89:AB90 AB44 AB99 AB49 AB59:AB60 AB70 AB74:AB75 AB83:AB84 AB93 AB96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6" sqref="E26"/>
    </sheetView>
  </sheetViews>
  <sheetFormatPr defaultRowHeight="14.25" x14ac:dyDescent="0.2"/>
  <cols>
    <col min="1" max="1" width="8.7109375" style="146" customWidth="1"/>
    <col min="2" max="2" width="47.42578125" style="146" bestFit="1" customWidth="1"/>
    <col min="3" max="28" width="18.7109375" style="146" customWidth="1"/>
    <col min="29" max="16384" width="9.140625" style="146"/>
  </cols>
  <sheetData>
    <row r="1" spans="1:28" ht="19.5" customHeight="1" x14ac:dyDescent="0.2">
      <c r="A1" s="271" t="s">
        <v>283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</row>
    <row r="2" spans="1:28" ht="15" customHeight="1" x14ac:dyDescent="0.2">
      <c r="A2" s="277" t="s">
        <v>284</v>
      </c>
      <c r="B2" s="277" t="s">
        <v>285</v>
      </c>
      <c r="C2" s="243" t="s">
        <v>2</v>
      </c>
      <c r="D2" s="243" t="s">
        <v>3</v>
      </c>
      <c r="E2" s="243" t="s">
        <v>4</v>
      </c>
      <c r="F2" s="243" t="s">
        <v>5</v>
      </c>
      <c r="G2" s="243" t="s">
        <v>6</v>
      </c>
      <c r="H2" s="243" t="s">
        <v>22</v>
      </c>
      <c r="I2" s="243" t="s">
        <v>7</v>
      </c>
      <c r="J2" s="243" t="s">
        <v>8</v>
      </c>
      <c r="K2" s="243" t="s">
        <v>9</v>
      </c>
      <c r="L2" s="243" t="s">
        <v>10</v>
      </c>
      <c r="M2" s="243" t="s">
        <v>11</v>
      </c>
      <c r="N2" s="243" t="s">
        <v>12</v>
      </c>
      <c r="O2" s="243" t="s">
        <v>13</v>
      </c>
      <c r="P2" s="243" t="s">
        <v>14</v>
      </c>
      <c r="Q2" s="243" t="s">
        <v>15</v>
      </c>
      <c r="R2" s="243" t="s">
        <v>16</v>
      </c>
      <c r="S2" s="243" t="s">
        <v>17</v>
      </c>
      <c r="T2" s="243" t="s">
        <v>18</v>
      </c>
      <c r="U2" s="243" t="s">
        <v>19</v>
      </c>
      <c r="V2" s="243" t="s">
        <v>20</v>
      </c>
      <c r="W2" s="243" t="s">
        <v>21</v>
      </c>
      <c r="X2" s="243" t="s">
        <v>23</v>
      </c>
      <c r="Y2" s="243" t="s">
        <v>24</v>
      </c>
      <c r="Z2" s="244" t="s">
        <v>25</v>
      </c>
      <c r="AA2" s="245" t="s">
        <v>325</v>
      </c>
      <c r="AB2" s="278" t="s">
        <v>444</v>
      </c>
    </row>
    <row r="3" spans="1:28" ht="57" x14ac:dyDescent="0.2">
      <c r="A3" s="277"/>
      <c r="B3" s="277"/>
      <c r="C3" s="246" t="s">
        <v>443</v>
      </c>
      <c r="D3" s="246" t="s">
        <v>443</v>
      </c>
      <c r="E3" s="246" t="s">
        <v>443</v>
      </c>
      <c r="F3" s="246" t="s">
        <v>443</v>
      </c>
      <c r="G3" s="246" t="s">
        <v>443</v>
      </c>
      <c r="H3" s="246" t="s">
        <v>443</v>
      </c>
      <c r="I3" s="246" t="s">
        <v>443</v>
      </c>
      <c r="J3" s="246" t="s">
        <v>443</v>
      </c>
      <c r="K3" s="246" t="s">
        <v>443</v>
      </c>
      <c r="L3" s="246" t="s">
        <v>443</v>
      </c>
      <c r="M3" s="246" t="s">
        <v>443</v>
      </c>
      <c r="N3" s="246" t="s">
        <v>443</v>
      </c>
      <c r="O3" s="246" t="s">
        <v>443</v>
      </c>
      <c r="P3" s="246" t="s">
        <v>443</v>
      </c>
      <c r="Q3" s="246" t="s">
        <v>443</v>
      </c>
      <c r="R3" s="246" t="s">
        <v>443</v>
      </c>
      <c r="S3" s="246" t="s">
        <v>443</v>
      </c>
      <c r="T3" s="246" t="s">
        <v>443</v>
      </c>
      <c r="U3" s="246" t="s">
        <v>443</v>
      </c>
      <c r="V3" s="246" t="s">
        <v>443</v>
      </c>
      <c r="W3" s="246" t="s">
        <v>443</v>
      </c>
      <c r="X3" s="246" t="s">
        <v>443</v>
      </c>
      <c r="Y3" s="246" t="s">
        <v>443</v>
      </c>
      <c r="Z3" s="246" t="s">
        <v>443</v>
      </c>
      <c r="AA3" s="246" t="s">
        <v>443</v>
      </c>
      <c r="AB3" s="279"/>
    </row>
    <row r="4" spans="1:28" x14ac:dyDescent="0.2">
      <c r="A4" s="247" t="s">
        <v>27</v>
      </c>
      <c r="B4" s="248" t="s">
        <v>286</v>
      </c>
      <c r="C4" s="249">
        <f t="shared" ref="C4" si="0">+C5+C6+C7</f>
        <v>2312.5300000000002</v>
      </c>
      <c r="D4" s="249">
        <f t="shared" ref="D4" si="1">+D5+D6+D7</f>
        <v>178270.49575</v>
      </c>
      <c r="E4" s="249">
        <f t="shared" ref="E4" si="2">+E5+E6+E7</f>
        <v>1541062.53</v>
      </c>
      <c r="F4" s="249">
        <f t="shared" ref="F4" si="3">+F5+F6+F7</f>
        <v>1469979.3800000001</v>
      </c>
      <c r="G4" s="249">
        <f>+G5+G6+G7</f>
        <v>703985.49999999988</v>
      </c>
      <c r="H4" s="249">
        <f t="shared" ref="H4" si="4">+H5+H6+H7</f>
        <v>966787</v>
      </c>
      <c r="I4" s="249">
        <f>+I5+I6+I7</f>
        <v>562957.66999999993</v>
      </c>
      <c r="J4" s="249">
        <f t="shared" ref="J4" si="5">+J5+J6+J7</f>
        <v>0</v>
      </c>
      <c r="K4" s="249">
        <f>SUM(K5:K7)</f>
        <v>1371731</v>
      </c>
      <c r="L4" s="249">
        <f>+L5+L6+L7</f>
        <v>0</v>
      </c>
      <c r="M4" s="249">
        <f t="shared" ref="M4" si="6">+M5+M6+M7</f>
        <v>204272.32</v>
      </c>
      <c r="N4" s="249">
        <f t="shared" ref="N4" si="7">+N5+N6+N7</f>
        <v>0</v>
      </c>
      <c r="O4" s="249">
        <f t="shared" ref="O4" si="8">+O5+O6+O7</f>
        <v>383714.05</v>
      </c>
      <c r="P4" s="249">
        <f>+P5+P6+P7</f>
        <v>11060.02</v>
      </c>
      <c r="Q4" s="249">
        <f t="shared" ref="Q4" si="9">+Q5+Q6+Q7</f>
        <v>261275.69999999998</v>
      </c>
      <c r="R4" s="249">
        <f t="shared" ref="R4" si="10">+R5+R6+R7</f>
        <v>69057.739999999991</v>
      </c>
      <c r="S4" s="249">
        <f t="shared" ref="S4" si="11">+S5+S6+S7</f>
        <v>379072.52</v>
      </c>
      <c r="T4" s="249">
        <f t="shared" ref="T4:V4" si="12">+T5+T6+T7</f>
        <v>17031.310000000001</v>
      </c>
      <c r="U4" s="249">
        <f>+U5+U6+U7</f>
        <v>4593490.3599999994</v>
      </c>
      <c r="V4" s="249">
        <f t="shared" si="12"/>
        <v>0</v>
      </c>
      <c r="W4" s="249">
        <f t="shared" ref="W4" si="13">+W5+W6+W7</f>
        <v>5808251.6300000008</v>
      </c>
      <c r="X4" s="249">
        <f>SUM(X5:X7)</f>
        <v>25024.93</v>
      </c>
      <c r="Y4" s="250">
        <f>+Y5+Y6+Y7</f>
        <v>190</v>
      </c>
      <c r="Z4" s="250">
        <f t="shared" ref="Z4:AB4" si="14">+Z5+Z6+Z7</f>
        <v>0</v>
      </c>
      <c r="AA4" s="249">
        <f t="shared" si="14"/>
        <v>0</v>
      </c>
      <c r="AB4" s="249">
        <f t="shared" si="14"/>
        <v>18549526.68575</v>
      </c>
    </row>
    <row r="5" spans="1:28" s="150" customFormat="1" ht="28.5" x14ac:dyDescent="0.2">
      <c r="A5" s="251"/>
      <c r="B5" s="252" t="s">
        <v>287</v>
      </c>
      <c r="C5" s="253"/>
      <c r="D5" s="253"/>
      <c r="E5" s="254">
        <v>1503951.27</v>
      </c>
      <c r="F5" s="255">
        <v>1306363.0900000001</v>
      </c>
      <c r="G5" s="253">
        <v>23904.28</v>
      </c>
      <c r="H5" s="253">
        <v>287639</v>
      </c>
      <c r="I5" s="253">
        <v>173762.29</v>
      </c>
      <c r="J5" s="255"/>
      <c r="K5" s="253">
        <v>0</v>
      </c>
      <c r="L5" s="253"/>
      <c r="M5" s="253"/>
      <c r="N5" s="253"/>
      <c r="O5" s="253">
        <v>305.48</v>
      </c>
      <c r="P5" s="253">
        <v>0</v>
      </c>
      <c r="Q5" s="253">
        <v>241211.68</v>
      </c>
      <c r="R5" s="256">
        <v>0</v>
      </c>
      <c r="S5" s="253">
        <v>0</v>
      </c>
      <c r="T5" s="253">
        <v>17031.310000000001</v>
      </c>
      <c r="U5" s="257">
        <v>4558748.26</v>
      </c>
      <c r="V5" s="253">
        <v>0</v>
      </c>
      <c r="W5" s="256">
        <v>2864005.15</v>
      </c>
      <c r="X5" s="253"/>
      <c r="Y5" s="253"/>
      <c r="Z5" s="253">
        <v>0</v>
      </c>
      <c r="AA5" s="253"/>
      <c r="AB5" s="258">
        <f t="shared" ref="AB5:AB10" si="15">+C5+D5+E5+F5+G5+H5+I5+J5+K5+L5+M5+N5+O5+P5+Q5+R5+S5+T5+U5+V5+W5+X5+Y5+Z5+AA5</f>
        <v>10976921.810000001</v>
      </c>
    </row>
    <row r="6" spans="1:28" x14ac:dyDescent="0.2">
      <c r="A6" s="251"/>
      <c r="B6" s="252" t="s">
        <v>288</v>
      </c>
      <c r="C6" s="257"/>
      <c r="D6" s="257"/>
      <c r="E6" s="259">
        <v>392</v>
      </c>
      <c r="F6" s="255">
        <v>8803.01</v>
      </c>
      <c r="G6" s="257">
        <v>40440.379999999997</v>
      </c>
      <c r="H6" s="257">
        <v>38653</v>
      </c>
      <c r="I6" s="257">
        <v>24272.66</v>
      </c>
      <c r="J6" s="255"/>
      <c r="K6" s="257">
        <v>0</v>
      </c>
      <c r="L6" s="257">
        <v>0</v>
      </c>
      <c r="M6" s="257"/>
      <c r="N6" s="257"/>
      <c r="O6" s="257">
        <v>43937.78</v>
      </c>
      <c r="P6" s="257">
        <v>0</v>
      </c>
      <c r="Q6" s="257">
        <v>4821</v>
      </c>
      <c r="R6" s="256">
        <v>80.430000000000007</v>
      </c>
      <c r="S6" s="257">
        <v>16233.08</v>
      </c>
      <c r="T6" s="257"/>
      <c r="U6" s="257">
        <v>19242.099999999999</v>
      </c>
      <c r="V6" s="257">
        <v>0</v>
      </c>
      <c r="W6" s="257">
        <v>98343.22</v>
      </c>
      <c r="X6" s="257">
        <v>36</v>
      </c>
      <c r="Y6" s="257"/>
      <c r="Z6" s="257">
        <v>0</v>
      </c>
      <c r="AA6" s="257"/>
      <c r="AB6" s="258">
        <f t="shared" si="15"/>
        <v>295254.66000000003</v>
      </c>
    </row>
    <row r="7" spans="1:28" x14ac:dyDescent="0.2">
      <c r="A7" s="251"/>
      <c r="B7" s="252" t="s">
        <v>289</v>
      </c>
      <c r="C7" s="253">
        <v>2312.5300000000002</v>
      </c>
      <c r="D7" s="253">
        <v>178270.49575</v>
      </c>
      <c r="E7" s="260">
        <v>36719.26</v>
      </c>
      <c r="F7" s="255">
        <v>154813.28</v>
      </c>
      <c r="G7" s="253">
        <f>26934.74+305792.06+83462.28+1155+13961.55+202605.51+5729.7</f>
        <v>639640.83999999985</v>
      </c>
      <c r="H7" s="253">
        <v>640495</v>
      </c>
      <c r="I7" s="253">
        <v>364922.72</v>
      </c>
      <c r="J7" s="255"/>
      <c r="K7" s="253">
        <v>1371731</v>
      </c>
      <c r="L7" s="253">
        <v>0</v>
      </c>
      <c r="M7" s="253">
        <v>204272.32</v>
      </c>
      <c r="N7" s="253"/>
      <c r="O7" s="253">
        <v>339470.79</v>
      </c>
      <c r="P7" s="253">
        <v>11060.02</v>
      </c>
      <c r="Q7" s="253">
        <v>15243.02</v>
      </c>
      <c r="R7" s="256">
        <v>68977.31</v>
      </c>
      <c r="S7" s="253">
        <v>362839.44</v>
      </c>
      <c r="T7" s="253"/>
      <c r="U7" s="257">
        <v>15500</v>
      </c>
      <c r="V7" s="253">
        <v>0</v>
      </c>
      <c r="W7" s="255">
        <v>2845903.2600000002</v>
      </c>
      <c r="X7" s="253">
        <v>24988.93</v>
      </c>
      <c r="Y7" s="253">
        <v>190</v>
      </c>
      <c r="Z7" s="253">
        <v>0</v>
      </c>
      <c r="AA7" s="253"/>
      <c r="AB7" s="258">
        <f t="shared" si="15"/>
        <v>7277350.2157499995</v>
      </c>
    </row>
    <row r="8" spans="1:28" x14ac:dyDescent="0.2">
      <c r="A8" s="261" t="s">
        <v>153</v>
      </c>
      <c r="B8" s="248" t="s">
        <v>290</v>
      </c>
      <c r="C8" s="249"/>
      <c r="D8" s="249"/>
      <c r="E8" s="262"/>
      <c r="F8" s="249">
        <v>0</v>
      </c>
      <c r="G8" s="249"/>
      <c r="H8" s="249"/>
      <c r="I8" s="249"/>
      <c r="J8" s="249"/>
      <c r="K8" s="249"/>
      <c r="L8" s="249"/>
      <c r="M8" s="249"/>
      <c r="N8" s="249"/>
      <c r="O8" s="249">
        <v>83.33</v>
      </c>
      <c r="P8" s="249">
        <v>0</v>
      </c>
      <c r="Q8" s="249">
        <v>0</v>
      </c>
      <c r="R8" s="249"/>
      <c r="S8" s="249">
        <v>105937.8</v>
      </c>
      <c r="T8" s="249">
        <v>0</v>
      </c>
      <c r="U8" s="249"/>
      <c r="V8" s="249">
        <v>0</v>
      </c>
      <c r="W8" s="263">
        <v>500</v>
      </c>
      <c r="X8" s="249"/>
      <c r="Y8" s="250"/>
      <c r="Z8" s="250"/>
      <c r="AA8" s="249"/>
      <c r="AB8" s="249">
        <f t="shared" si="15"/>
        <v>106521.13</v>
      </c>
    </row>
    <row r="9" spans="1:28" ht="28.5" x14ac:dyDescent="0.2">
      <c r="A9" s="261" t="s">
        <v>168</v>
      </c>
      <c r="B9" s="248" t="s">
        <v>291</v>
      </c>
      <c r="C9" s="249"/>
      <c r="D9" s="249"/>
      <c r="E9" s="262">
        <v>4194.8500000000004</v>
      </c>
      <c r="F9" s="249">
        <v>39302.559999999998</v>
      </c>
      <c r="G9" s="249">
        <f>480.11+448348.09</f>
        <v>448828.2</v>
      </c>
      <c r="H9" s="249">
        <v>430550</v>
      </c>
      <c r="I9" s="249">
        <v>98231.8</v>
      </c>
      <c r="J9" s="249"/>
      <c r="K9" s="249">
        <v>20702.8</v>
      </c>
      <c r="L9" s="249">
        <v>923.21</v>
      </c>
      <c r="M9" s="249">
        <v>87386.07</v>
      </c>
      <c r="N9" s="249"/>
      <c r="O9" s="249">
        <v>354180.18</v>
      </c>
      <c r="P9" s="249">
        <v>0</v>
      </c>
      <c r="Q9" s="249">
        <v>23268.3</v>
      </c>
      <c r="R9" s="249"/>
      <c r="S9" s="249">
        <v>162204.87</v>
      </c>
      <c r="T9" s="249">
        <v>6800</v>
      </c>
      <c r="U9" s="249">
        <v>253037.23</v>
      </c>
      <c r="V9" s="249">
        <v>0</v>
      </c>
      <c r="W9" s="263">
        <v>225480.90999999997</v>
      </c>
      <c r="X9" s="249">
        <v>3679.4</v>
      </c>
      <c r="Y9" s="250"/>
      <c r="Z9" s="250"/>
      <c r="AA9" s="249"/>
      <c r="AB9" s="249">
        <f t="shared" si="15"/>
        <v>2158770.38</v>
      </c>
    </row>
    <row r="10" spans="1:28" x14ac:dyDescent="0.2">
      <c r="A10" s="261" t="s">
        <v>178</v>
      </c>
      <c r="B10" s="248" t="s">
        <v>292</v>
      </c>
      <c r="C10" s="249"/>
      <c r="D10" s="249">
        <v>46814.19</v>
      </c>
      <c r="E10" s="262"/>
      <c r="F10" s="249">
        <v>24722.5</v>
      </c>
      <c r="G10" s="249">
        <v>45793.56</v>
      </c>
      <c r="H10" s="249">
        <v>40342</v>
      </c>
      <c r="I10" s="249">
        <v>0</v>
      </c>
      <c r="J10" s="249"/>
      <c r="K10" s="249">
        <v>496815.9</v>
      </c>
      <c r="L10" s="249">
        <v>0</v>
      </c>
      <c r="M10" s="249">
        <v>512295.94999999995</v>
      </c>
      <c r="N10" s="249"/>
      <c r="O10" s="249">
        <v>11461.9</v>
      </c>
      <c r="P10" s="249">
        <v>0</v>
      </c>
      <c r="Q10" s="249">
        <v>5226.6000000000004</v>
      </c>
      <c r="R10" s="249"/>
      <c r="S10" s="249">
        <v>431301.78</v>
      </c>
      <c r="T10" s="249">
        <v>12546.32</v>
      </c>
      <c r="U10" s="249">
        <v>15000</v>
      </c>
      <c r="V10" s="249">
        <v>0</v>
      </c>
      <c r="W10" s="263">
        <v>195342.59</v>
      </c>
      <c r="X10" s="249">
        <v>968</v>
      </c>
      <c r="Y10" s="250"/>
      <c r="Z10" s="250"/>
      <c r="AA10" s="249"/>
      <c r="AB10" s="249">
        <f t="shared" si="15"/>
        <v>1838631.2900000003</v>
      </c>
    </row>
    <row r="11" spans="1:28" x14ac:dyDescent="0.2">
      <c r="A11" s="261" t="s">
        <v>194</v>
      </c>
      <c r="B11" s="248" t="s">
        <v>293</v>
      </c>
      <c r="C11" s="249">
        <f>C12+C13</f>
        <v>0</v>
      </c>
      <c r="D11" s="249">
        <f t="shared" ref="D11:AB11" si="16">D12+D13</f>
        <v>4000000</v>
      </c>
      <c r="E11" s="249">
        <f t="shared" si="16"/>
        <v>0</v>
      </c>
      <c r="F11" s="249">
        <f t="shared" si="16"/>
        <v>0</v>
      </c>
      <c r="G11" s="249"/>
      <c r="H11" s="249">
        <f t="shared" si="16"/>
        <v>0</v>
      </c>
      <c r="I11" s="249">
        <f>I12+I13</f>
        <v>0</v>
      </c>
      <c r="J11" s="249">
        <f t="shared" si="16"/>
        <v>0</v>
      </c>
      <c r="K11" s="249">
        <f t="shared" si="16"/>
        <v>8982525.5899999999</v>
      </c>
      <c r="L11" s="249">
        <f>L12+L13</f>
        <v>0</v>
      </c>
      <c r="M11" s="249">
        <f t="shared" si="16"/>
        <v>0</v>
      </c>
      <c r="N11" s="249">
        <f t="shared" si="16"/>
        <v>0</v>
      </c>
      <c r="O11" s="249">
        <f t="shared" si="16"/>
        <v>0</v>
      </c>
      <c r="P11" s="249">
        <v>0</v>
      </c>
      <c r="Q11" s="249">
        <f t="shared" si="16"/>
        <v>0</v>
      </c>
      <c r="R11" s="249">
        <f t="shared" si="16"/>
        <v>0</v>
      </c>
      <c r="S11" s="249">
        <f t="shared" si="16"/>
        <v>0</v>
      </c>
      <c r="T11" s="249">
        <f>T12+T13</f>
        <v>0</v>
      </c>
      <c r="U11" s="249">
        <f>U12+U13</f>
        <v>417889.98</v>
      </c>
      <c r="V11" s="249">
        <f>V12+V13</f>
        <v>0</v>
      </c>
      <c r="W11" s="249">
        <f t="shared" si="16"/>
        <v>0</v>
      </c>
      <c r="X11" s="249"/>
      <c r="Y11" s="250">
        <f>Y12+Y13</f>
        <v>0</v>
      </c>
      <c r="Z11" s="249">
        <f t="shared" si="16"/>
        <v>0</v>
      </c>
      <c r="AA11" s="249">
        <f t="shared" si="16"/>
        <v>0</v>
      </c>
      <c r="AB11" s="249">
        <f t="shared" si="16"/>
        <v>13400415.57</v>
      </c>
    </row>
    <row r="12" spans="1:28" x14ac:dyDescent="0.2">
      <c r="A12" s="264" t="s">
        <v>294</v>
      </c>
      <c r="B12" s="265" t="s">
        <v>295</v>
      </c>
      <c r="C12" s="257"/>
      <c r="D12" s="257">
        <v>4000000</v>
      </c>
      <c r="E12" s="259"/>
      <c r="F12" s="255">
        <v>0</v>
      </c>
      <c r="G12" s="257"/>
      <c r="H12" s="257">
        <v>0</v>
      </c>
      <c r="I12" s="257"/>
      <c r="J12" s="255"/>
      <c r="K12" s="257">
        <v>8982525.5899999999</v>
      </c>
      <c r="L12" s="257"/>
      <c r="M12" s="257"/>
      <c r="N12" s="257"/>
      <c r="O12" s="257"/>
      <c r="P12" s="257">
        <v>0</v>
      </c>
      <c r="Q12" s="257"/>
      <c r="R12" s="256"/>
      <c r="S12" s="257"/>
      <c r="T12" s="257"/>
      <c r="U12" s="257">
        <v>384709.6</v>
      </c>
      <c r="V12" s="257">
        <v>0</v>
      </c>
      <c r="W12" s="255"/>
      <c r="X12" s="257"/>
      <c r="Y12" s="257"/>
      <c r="Z12" s="257"/>
      <c r="AA12" s="257"/>
      <c r="AB12" s="258">
        <f>+C12+D12+E12+F12+G12+H12+I12+J12+K12+L12+M12+N12+O12+P12+Q12+R12+S12+T12+U12+V12+W12+X12+Y12+Z12+AA12</f>
        <v>13367235.189999999</v>
      </c>
    </row>
    <row r="13" spans="1:28" x14ac:dyDescent="0.2">
      <c r="A13" s="251" t="s">
        <v>296</v>
      </c>
      <c r="B13" s="252" t="s">
        <v>297</v>
      </c>
      <c r="C13" s="257"/>
      <c r="D13" s="257"/>
      <c r="E13" s="259"/>
      <c r="F13" s="255">
        <v>0</v>
      </c>
      <c r="G13" s="257"/>
      <c r="H13" s="257">
        <v>0</v>
      </c>
      <c r="I13" s="257"/>
      <c r="J13" s="255"/>
      <c r="K13" s="257"/>
      <c r="L13" s="257"/>
      <c r="M13" s="257"/>
      <c r="N13" s="257"/>
      <c r="O13" s="257"/>
      <c r="P13" s="257">
        <v>0</v>
      </c>
      <c r="Q13" s="257"/>
      <c r="R13" s="256"/>
      <c r="S13" s="257"/>
      <c r="T13" s="257"/>
      <c r="U13" s="257">
        <v>33180.379999999997</v>
      </c>
      <c r="V13" s="257">
        <v>0</v>
      </c>
      <c r="W13" s="255"/>
      <c r="X13" s="257"/>
      <c r="Y13" s="257"/>
      <c r="Z13" s="257"/>
      <c r="AA13" s="257"/>
      <c r="AB13" s="258">
        <f>+C13+D13+E13+F13+G13+H13+I13+J13+K13+L13+M13+N13+O13+P13+Q13+R13+S13+T13+U13+V13+W13+X13+Y13+Z13+AA13</f>
        <v>33180.379999999997</v>
      </c>
    </row>
    <row r="14" spans="1:28" x14ac:dyDescent="0.2">
      <c r="A14" s="261" t="s">
        <v>298</v>
      </c>
      <c r="B14" s="248" t="s">
        <v>299</v>
      </c>
      <c r="C14" s="249"/>
      <c r="D14" s="249"/>
      <c r="E14" s="262">
        <v>259000.68</v>
      </c>
      <c r="F14" s="263">
        <v>0</v>
      </c>
      <c r="G14" s="249">
        <v>9881107.4499999993</v>
      </c>
      <c r="H14" s="249">
        <v>5449127</v>
      </c>
      <c r="I14" s="249">
        <v>121358.21</v>
      </c>
      <c r="J14" s="263"/>
      <c r="K14" s="249"/>
      <c r="L14" s="249">
        <v>90185.24</v>
      </c>
      <c r="M14" s="249"/>
      <c r="N14" s="249"/>
      <c r="O14" s="249">
        <v>0</v>
      </c>
      <c r="P14" s="249">
        <v>0</v>
      </c>
      <c r="Q14" s="249">
        <v>13444.34</v>
      </c>
      <c r="R14" s="249"/>
      <c r="S14" s="249">
        <v>90448.86</v>
      </c>
      <c r="T14" s="249">
        <v>2146.86</v>
      </c>
      <c r="U14" s="249"/>
      <c r="V14" s="249">
        <v>0</v>
      </c>
      <c r="W14" s="263">
        <v>2598236.0900000003</v>
      </c>
      <c r="X14" s="249"/>
      <c r="Y14" s="250"/>
      <c r="Z14" s="249"/>
      <c r="AA14" s="249"/>
      <c r="AB14" s="249">
        <f>+C14+D14+E14+F14+G14+H14+I14+J14+K14+L14+M14+N14+O14+P14+Q14+R14+S14+T14+U14+V14+W14+X14+Y14+Z14+AA14</f>
        <v>18505054.73</v>
      </c>
    </row>
    <row r="15" spans="1:28" ht="28.5" x14ac:dyDescent="0.2">
      <c r="A15" s="261" t="s">
        <v>300</v>
      </c>
      <c r="B15" s="248" t="s">
        <v>321</v>
      </c>
      <c r="C15" s="249"/>
      <c r="D15" s="249"/>
      <c r="E15" s="262"/>
      <c r="F15" s="263">
        <v>0</v>
      </c>
      <c r="G15" s="249"/>
      <c r="H15" s="249">
        <v>1849902</v>
      </c>
      <c r="I15" s="249">
        <v>0</v>
      </c>
      <c r="J15" s="263"/>
      <c r="K15" s="249"/>
      <c r="L15" s="249"/>
      <c r="M15" s="249"/>
      <c r="N15" s="249"/>
      <c r="O15" s="249">
        <v>0</v>
      </c>
      <c r="P15" s="249">
        <v>0</v>
      </c>
      <c r="Q15" s="249"/>
      <c r="R15" s="249"/>
      <c r="S15" s="249"/>
      <c r="T15" s="249"/>
      <c r="U15" s="266">
        <v>793024.23</v>
      </c>
      <c r="V15" s="249">
        <v>0</v>
      </c>
      <c r="W15" s="263"/>
      <c r="X15" s="249"/>
      <c r="Y15" s="250">
        <v>200737.81</v>
      </c>
      <c r="Z15" s="249"/>
      <c r="AA15" s="249"/>
      <c r="AB15" s="249">
        <f>+C15+D15+E15+F15+G15+H15+I15+J15+K15+L15+M15+N15+O15+P15+Q15+R15+S15+T15+U15+V15+W15+X15+Y15+Z15+AA15</f>
        <v>2843664.04</v>
      </c>
    </row>
    <row r="16" spans="1:28" x14ac:dyDescent="0.2">
      <c r="A16" s="261" t="s">
        <v>322</v>
      </c>
      <c r="B16" s="248" t="s">
        <v>301</v>
      </c>
      <c r="C16" s="249"/>
      <c r="D16" s="249"/>
      <c r="E16" s="262"/>
      <c r="F16" s="263"/>
      <c r="G16" s="249"/>
      <c r="H16" s="249">
        <v>2300</v>
      </c>
      <c r="I16" s="249"/>
      <c r="J16" s="263"/>
      <c r="K16" s="249"/>
      <c r="L16" s="249"/>
      <c r="M16" s="249"/>
      <c r="N16" s="249"/>
      <c r="O16" s="249">
        <v>4740</v>
      </c>
      <c r="P16" s="249">
        <v>0</v>
      </c>
      <c r="Q16" s="249"/>
      <c r="R16" s="249"/>
      <c r="S16" s="249">
        <v>18808.2</v>
      </c>
      <c r="T16" s="249">
        <v>0</v>
      </c>
      <c r="U16" s="249"/>
      <c r="V16" s="249">
        <v>0</v>
      </c>
      <c r="W16" s="263"/>
      <c r="X16" s="249"/>
      <c r="Y16" s="250"/>
      <c r="Z16" s="249"/>
      <c r="AA16" s="249"/>
      <c r="AB16" s="249">
        <f>+C16+D16+E16+F16+G16+H16+I16+J16+K16+L16+M16+N16+O16+P16+Q16+R16+S16+T16+U16+V16+W16+X16+Y16+Z16+AA16</f>
        <v>25848.2</v>
      </c>
    </row>
    <row r="17" spans="1:28" x14ac:dyDescent="0.2">
      <c r="A17" s="277" t="s">
        <v>302</v>
      </c>
      <c r="B17" s="277"/>
      <c r="C17" s="187">
        <f>+C4+C8+C9+C10+C11+C14+C15+C16</f>
        <v>2312.5300000000002</v>
      </c>
      <c r="D17" s="187">
        <f t="shared" ref="D17:AA17" si="17">+D4+D8+D9+D10+D11+D14+D15+D16</f>
        <v>4225084.6857500002</v>
      </c>
      <c r="E17" s="187">
        <f t="shared" si="17"/>
        <v>1804258.06</v>
      </c>
      <c r="F17" s="187">
        <f t="shared" si="17"/>
        <v>1534004.4400000002</v>
      </c>
      <c r="G17" s="187">
        <f>+G4+G8+G9+G10+G11+G14+G15+G16</f>
        <v>11079714.709999999</v>
      </c>
      <c r="H17" s="187">
        <f t="shared" si="17"/>
        <v>8739008</v>
      </c>
      <c r="I17" s="195">
        <f>+I4+I8+I9+I10+I11+I14+I15+I16</f>
        <v>782547.67999999993</v>
      </c>
      <c r="J17" s="187">
        <f t="shared" si="17"/>
        <v>0</v>
      </c>
      <c r="K17" s="187">
        <f t="shared" si="17"/>
        <v>10871775.289999999</v>
      </c>
      <c r="L17" s="187">
        <f>+L4+L8+L9+L10+L11+L14+L15+L16</f>
        <v>91108.450000000012</v>
      </c>
      <c r="M17" s="187">
        <f t="shared" si="17"/>
        <v>803954.34</v>
      </c>
      <c r="N17" s="187">
        <f t="shared" si="17"/>
        <v>0</v>
      </c>
      <c r="O17" s="187">
        <f t="shared" si="17"/>
        <v>754179.46000000008</v>
      </c>
      <c r="P17" s="187">
        <f>+P4+P8+P9+P10+P11+P14+P15+P16</f>
        <v>11060.02</v>
      </c>
      <c r="Q17" s="187">
        <f t="shared" si="17"/>
        <v>303214.94</v>
      </c>
      <c r="R17" s="187">
        <f t="shared" si="17"/>
        <v>69057.739999999991</v>
      </c>
      <c r="S17" s="187">
        <f t="shared" si="17"/>
        <v>1187774.03</v>
      </c>
      <c r="T17" s="187">
        <f t="shared" ref="T17:V17" si="18">+T4+T8+T9+T10+T11+T14+T15+T16</f>
        <v>38524.490000000005</v>
      </c>
      <c r="U17" s="187">
        <f>+U4+U8+U9+U10+U11+U14+U15+U16</f>
        <v>6072441.8000000007</v>
      </c>
      <c r="V17" s="187">
        <f t="shared" si="18"/>
        <v>0</v>
      </c>
      <c r="W17" s="187">
        <f t="shared" si="17"/>
        <v>8827811.2200000007</v>
      </c>
      <c r="X17" s="187">
        <f t="shared" si="17"/>
        <v>29672.33</v>
      </c>
      <c r="Y17" s="187">
        <f>+Y4+Y8+Y9+Y10+Y11+Y14+Y15+Y16</f>
        <v>200927.81</v>
      </c>
      <c r="Z17" s="187">
        <f t="shared" si="17"/>
        <v>0</v>
      </c>
      <c r="AA17" s="187">
        <f t="shared" si="17"/>
        <v>0</v>
      </c>
      <c r="AB17" s="187">
        <f>+AB4+AB8+AB9+AB10+AB11+AB14+AB15+AB16</f>
        <v>57428432.025750004</v>
      </c>
    </row>
    <row r="19" spans="1:28" x14ac:dyDescent="0.2">
      <c r="C19" s="147"/>
      <c r="AB19" s="147"/>
    </row>
    <row r="22" spans="1:28" x14ac:dyDescent="0.2">
      <c r="AB22" s="147"/>
    </row>
  </sheetData>
  <mergeCells count="5">
    <mergeCell ref="A17:B17"/>
    <mergeCell ref="A2:A3"/>
    <mergeCell ref="B2:B3"/>
    <mergeCell ref="AB2:AB3"/>
    <mergeCell ref="A1:AB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303</v>
      </c>
      <c r="C2" s="43">
        <v>2024</v>
      </c>
    </row>
    <row r="3" spans="2:5" ht="16.5" thickTop="1" thickBot="1" x14ac:dyDescent="0.3">
      <c r="B3" s="52" t="s">
        <v>304</v>
      </c>
      <c r="C3" s="53">
        <f>+C4+C9+C13+C21+C26+C27</f>
        <v>482861340.66000009</v>
      </c>
    </row>
    <row r="4" spans="2:5" ht="15.75" thickTop="1" x14ac:dyDescent="0.25">
      <c r="B4" s="10" t="s">
        <v>202</v>
      </c>
      <c r="C4" s="45">
        <f>+C5+C6+C8+C7</f>
        <v>301999525.22000003</v>
      </c>
    </row>
    <row r="5" spans="2:5" ht="15.75" x14ac:dyDescent="0.3">
      <c r="B5" s="11" t="s">
        <v>204</v>
      </c>
      <c r="C5" s="46">
        <f>+'2025 PRIHODI'!AB5</f>
        <v>128399028.84999999</v>
      </c>
    </row>
    <row r="6" spans="2:5" ht="15.75" x14ac:dyDescent="0.3">
      <c r="B6" s="11" t="s">
        <v>205</v>
      </c>
      <c r="C6" s="46">
        <f>+'2025 PRIHODI'!AB6</f>
        <v>111108865.23000002</v>
      </c>
    </row>
    <row r="7" spans="2:5" ht="15.75" x14ac:dyDescent="0.3">
      <c r="B7" s="11" t="s">
        <v>206</v>
      </c>
      <c r="C7" s="46">
        <f>+'2025 PRIHODI'!AB7</f>
        <v>30291219.840000007</v>
      </c>
    </row>
    <row r="8" spans="2:5" ht="15.75" x14ac:dyDescent="0.3">
      <c r="B8" s="11" t="s">
        <v>305</v>
      </c>
      <c r="C8" s="46">
        <f>+'2025 PRIHODI'!AB8</f>
        <v>32200411.299999997</v>
      </c>
    </row>
    <row r="9" spans="2:5" x14ac:dyDescent="0.25">
      <c r="B9" s="12" t="s">
        <v>123</v>
      </c>
      <c r="C9" s="47">
        <f>+C10+C11+C12</f>
        <v>5551001.5600000005</v>
      </c>
    </row>
    <row r="10" spans="2:5" ht="15.75" x14ac:dyDescent="0.3">
      <c r="B10" s="11" t="s">
        <v>210</v>
      </c>
      <c r="C10" s="46">
        <f>+'2025 PRIHODI'!AB10</f>
        <v>1260547.6500000001</v>
      </c>
    </row>
    <row r="11" spans="2:5" ht="15.75" x14ac:dyDescent="0.3">
      <c r="B11" s="11" t="s">
        <v>212</v>
      </c>
      <c r="C11" s="46">
        <f>+'2025 PRIHODI'!AB11</f>
        <v>2374293.3400000003</v>
      </c>
    </row>
    <row r="12" spans="2:5" ht="15.75" x14ac:dyDescent="0.3">
      <c r="B12" s="11" t="s">
        <v>213</v>
      </c>
      <c r="C12" s="46">
        <f>+'2025 PRIHODI'!AB12</f>
        <v>1916160.57</v>
      </c>
    </row>
    <row r="13" spans="2:5" x14ac:dyDescent="0.25">
      <c r="B13" s="12" t="s">
        <v>214</v>
      </c>
      <c r="C13" s="47">
        <f>+C14+C15+C16+C17+C18+C19+C20</f>
        <v>89005544.950000003</v>
      </c>
    </row>
    <row r="14" spans="2:5" ht="15.75" x14ac:dyDescent="0.3">
      <c r="B14" s="11" t="s">
        <v>306</v>
      </c>
      <c r="C14" s="46">
        <f>+'2025 PRIHODI'!AB14</f>
        <v>4811915.87</v>
      </c>
      <c r="E14" s="39"/>
    </row>
    <row r="15" spans="2:5" ht="15.75" x14ac:dyDescent="0.3">
      <c r="B15" s="11" t="s">
        <v>223</v>
      </c>
      <c r="C15" s="46">
        <f>+'2025 PRIHODI'!AB19</f>
        <v>11771813.459999997</v>
      </c>
    </row>
    <row r="16" spans="2:5" ht="15.75" hidden="1" x14ac:dyDescent="0.3">
      <c r="B16" s="11" t="s">
        <v>307</v>
      </c>
      <c r="C16" s="46"/>
    </row>
    <row r="17" spans="2:6" ht="15.75" hidden="1" x14ac:dyDescent="0.3">
      <c r="B17" s="11" t="s">
        <v>308</v>
      </c>
      <c r="C17" s="46"/>
    </row>
    <row r="18" spans="2:6" ht="15.75" x14ac:dyDescent="0.3">
      <c r="B18" s="11" t="s">
        <v>309</v>
      </c>
      <c r="C18" s="46">
        <f>+'2025 PRIHODI'!AB26+'2025 PRIHODI'!AB27</f>
        <v>60315452.99000001</v>
      </c>
    </row>
    <row r="19" spans="2:6" ht="15.75" x14ac:dyDescent="0.3">
      <c r="B19" s="11" t="s">
        <v>310</v>
      </c>
      <c r="C19" s="46">
        <f>+'2025 PRIHODI'!AB28+'2025 PRIHODI'!AB29+'2025 PRIHODI'!AB30+'2025 PRIHODI'!AB31</f>
        <v>6602675.0800000001</v>
      </c>
    </row>
    <row r="20" spans="2:6" ht="15.75" x14ac:dyDescent="0.3">
      <c r="B20" s="11" t="s">
        <v>54</v>
      </c>
      <c r="C20" s="46">
        <f>+'2025 PRIHODI'!AB32</f>
        <v>5503687.5499999989</v>
      </c>
    </row>
    <row r="21" spans="2:6" x14ac:dyDescent="0.25">
      <c r="B21" s="12" t="s">
        <v>240</v>
      </c>
      <c r="C21" s="47">
        <f>+C22+C23+C24+C25</f>
        <v>16609643.539999999</v>
      </c>
    </row>
    <row r="22" spans="2:6" ht="15.75" x14ac:dyDescent="0.3">
      <c r="B22" s="11" t="s">
        <v>311</v>
      </c>
      <c r="C22" s="46">
        <f>+'2025 PRIHODI'!AB34</f>
        <v>2722290.9600000004</v>
      </c>
    </row>
    <row r="23" spans="2:6" ht="15.75" x14ac:dyDescent="0.3">
      <c r="B23" s="11" t="s">
        <v>244</v>
      </c>
      <c r="C23" s="46">
        <f>+'2025 PRIHODI'!AB35</f>
        <v>3317008.9999999991</v>
      </c>
    </row>
    <row r="24" spans="2:6" ht="15.75" x14ac:dyDescent="0.3">
      <c r="B24" s="11" t="s">
        <v>247</v>
      </c>
      <c r="C24" s="46">
        <f>+'2025 PRIHODI'!AB37</f>
        <v>3324069.83</v>
      </c>
      <c r="F24" s="42"/>
    </row>
    <row r="25" spans="2:6" ht="15.75" x14ac:dyDescent="0.3">
      <c r="B25" s="13" t="s">
        <v>240</v>
      </c>
      <c r="C25" s="48">
        <f>+'2025 PRIHODI'!AB39</f>
        <v>7246273.75</v>
      </c>
    </row>
    <row r="26" spans="2:6" x14ac:dyDescent="0.25">
      <c r="B26" s="12" t="s">
        <v>331</v>
      </c>
      <c r="C26" s="47">
        <f>+'2025 PRIHODI'!AB51+'2025 PRIHODI'!AB57</f>
        <v>69438291.160000011</v>
      </c>
    </row>
    <row r="27" spans="2:6" ht="15.75" thickBot="1" x14ac:dyDescent="0.3">
      <c r="B27" s="40" t="s">
        <v>263</v>
      </c>
      <c r="C27" s="49">
        <f>+'2025 PRIHODI'!AB48</f>
        <v>257334.22999999998</v>
      </c>
    </row>
    <row r="28" spans="2:6" ht="16.5" thickTop="1" thickBot="1" x14ac:dyDescent="0.3">
      <c r="B28" s="54" t="s">
        <v>312</v>
      </c>
      <c r="C28" s="53">
        <f>+C29+C57+C58+C59+C60</f>
        <v>512456445.11480004</v>
      </c>
    </row>
    <row r="29" spans="2:6" ht="15.75" thickTop="1" x14ac:dyDescent="0.25">
      <c r="B29" s="10" t="s">
        <v>28</v>
      </c>
      <c r="C29" s="45">
        <f>+C30+C36+C37+C38+C39+C40+C41+C42+C43+C44+C45+C53</f>
        <v>299969898.43480003</v>
      </c>
    </row>
    <row r="30" spans="2:6" x14ac:dyDescent="0.25">
      <c r="B30" s="12" t="s">
        <v>29</v>
      </c>
      <c r="C30" s="47">
        <f>SUM(C31:C35)</f>
        <v>82530492.544799998</v>
      </c>
    </row>
    <row r="31" spans="2:6" ht="15.75" x14ac:dyDescent="0.3">
      <c r="B31" s="15" t="s">
        <v>31</v>
      </c>
      <c r="C31" s="46">
        <f>+'2025 RASHODI'!AB6</f>
        <v>69292701.100000009</v>
      </c>
    </row>
    <row r="32" spans="2:6" ht="15.75" x14ac:dyDescent="0.3">
      <c r="B32" s="15" t="s">
        <v>33</v>
      </c>
      <c r="C32" s="46">
        <f>+'2025 RASHODI'!AB7</f>
        <v>3357102.0999999996</v>
      </c>
    </row>
    <row r="33" spans="2:5" ht="15.75" x14ac:dyDescent="0.3">
      <c r="B33" s="15" t="s">
        <v>35</v>
      </c>
      <c r="C33" s="46">
        <f>+'2025 RASHODI'!AB8</f>
        <v>7418451.1899999995</v>
      </c>
    </row>
    <row r="34" spans="2:5" ht="15.75" x14ac:dyDescent="0.3">
      <c r="B34" s="15" t="s">
        <v>37</v>
      </c>
      <c r="C34" s="46">
        <f>+'2025 RASHODI'!AB9</f>
        <v>2012166.7799999996</v>
      </c>
    </row>
    <row r="35" spans="2:5" ht="15.75" x14ac:dyDescent="0.3">
      <c r="B35" s="15" t="s">
        <v>39</v>
      </c>
      <c r="C35" s="46">
        <f>+'2025 RASHODI'!AB10</f>
        <v>450071.37479999993</v>
      </c>
    </row>
    <row r="36" spans="2:5" ht="15.75" x14ac:dyDescent="0.3">
      <c r="B36" s="16" t="s">
        <v>40</v>
      </c>
      <c r="C36" s="46">
        <f>+'2025 RASHODI'!AB11</f>
        <v>7433816</v>
      </c>
      <c r="E36" s="39"/>
    </row>
    <row r="37" spans="2:5" ht="15.75" x14ac:dyDescent="0.3">
      <c r="B37" s="16" t="s">
        <v>55</v>
      </c>
      <c r="C37" s="46">
        <f>+'2025 RASHODI'!AB19</f>
        <v>9508009.2800000012</v>
      </c>
    </row>
    <row r="38" spans="2:5" ht="15.75" x14ac:dyDescent="0.3">
      <c r="B38" s="16" t="s">
        <v>68</v>
      </c>
      <c r="C38" s="46">
        <f>+'2025 RASHODI'!AB26</f>
        <v>14576301.18</v>
      </c>
      <c r="E38" s="41"/>
    </row>
    <row r="39" spans="2:5" ht="15.75" x14ac:dyDescent="0.3">
      <c r="B39" s="16" t="s">
        <v>87</v>
      </c>
      <c r="C39" s="46">
        <f>+'2025 RASHODI'!AB36</f>
        <v>8790861.75</v>
      </c>
    </row>
    <row r="40" spans="2:5" ht="15.75" x14ac:dyDescent="0.3">
      <c r="B40" s="16" t="s">
        <v>96</v>
      </c>
      <c r="C40" s="46">
        <f>+'2025 RASHODI'!AB41</f>
        <v>2153309.0699999998</v>
      </c>
    </row>
    <row r="41" spans="2:5" ht="15.75" x14ac:dyDescent="0.3">
      <c r="B41" s="16" t="s">
        <v>101</v>
      </c>
      <c r="C41" s="46">
        <f>+'2025 RASHODI'!AB44</f>
        <v>750141.71</v>
      </c>
    </row>
    <row r="42" spans="2:5" ht="15.75" x14ac:dyDescent="0.3">
      <c r="B42" s="16" t="s">
        <v>108</v>
      </c>
      <c r="C42" s="46">
        <f>+'2025 RASHODI'!AB48</f>
        <v>8466381.5899999999</v>
      </c>
    </row>
    <row r="43" spans="2:5" ht="15.75" x14ac:dyDescent="0.3">
      <c r="B43" s="16" t="s">
        <v>109</v>
      </c>
      <c r="C43" s="46">
        <f>+'2025 RASHODI'!AB49</f>
        <v>16596984.859999999</v>
      </c>
    </row>
    <row r="44" spans="2:5" x14ac:dyDescent="0.25">
      <c r="B44" s="12" t="s">
        <v>126</v>
      </c>
      <c r="C44" s="47">
        <f>+'2025 RASHODI'!AB58</f>
        <v>4417218.05</v>
      </c>
    </row>
    <row r="45" spans="2:5" s="63" customFormat="1" x14ac:dyDescent="0.25">
      <c r="B45" s="93" t="s">
        <v>332</v>
      </c>
      <c r="C45" s="94">
        <f>SUM(C46:C52)</f>
        <v>72190173.510000005</v>
      </c>
      <c r="E45" s="76"/>
    </row>
    <row r="46" spans="2:5" ht="15.75" x14ac:dyDescent="0.3">
      <c r="B46" s="17" t="s">
        <v>133</v>
      </c>
      <c r="C46" s="46">
        <f>+'2025 RASHODI'!AB63</f>
        <v>31981694.780000001</v>
      </c>
    </row>
    <row r="47" spans="2:5" ht="15.75" x14ac:dyDescent="0.3">
      <c r="B47" s="17" t="s">
        <v>135</v>
      </c>
      <c r="C47" s="46">
        <f>+'2025 RASHODI'!AB64</f>
        <v>1736016.7799999998</v>
      </c>
    </row>
    <row r="48" spans="2:5" ht="15.75" x14ac:dyDescent="0.3">
      <c r="B48" s="17" t="s">
        <v>137</v>
      </c>
      <c r="C48" s="46">
        <f>+'2025 RASHODI'!AB65</f>
        <v>4801544.45</v>
      </c>
    </row>
    <row r="49" spans="2:6" ht="15.75" x14ac:dyDescent="0.3">
      <c r="B49" s="17" t="s">
        <v>139</v>
      </c>
      <c r="C49" s="46">
        <f>+'2025 RASHODI'!AB66</f>
        <v>2239137.8600000003</v>
      </c>
    </row>
    <row r="50" spans="2:6" ht="15.75" x14ac:dyDescent="0.3">
      <c r="B50" s="17" t="s">
        <v>143</v>
      </c>
      <c r="C50" s="46">
        <f>+'2025 RASHODI'!AB68</f>
        <v>6912391.3100000005</v>
      </c>
    </row>
    <row r="51" spans="2:6" ht="15.75" x14ac:dyDescent="0.3">
      <c r="B51" s="17" t="s">
        <v>145</v>
      </c>
      <c r="C51" s="46">
        <f>+'2025 RASHODI'!AB69</f>
        <v>22646415.319999997</v>
      </c>
    </row>
    <row r="52" spans="2:6" ht="15.75" x14ac:dyDescent="0.3">
      <c r="B52" s="17" t="s">
        <v>146</v>
      </c>
      <c r="C52" s="46">
        <f>+'2025 RASHODI'!AB61+'2025 RASHODI'!AB62+'2025 RASHODI'!AB67</f>
        <v>1872973.0099999998</v>
      </c>
    </row>
    <row r="53" spans="2:6" x14ac:dyDescent="0.25">
      <c r="B53" s="12" t="s">
        <v>146</v>
      </c>
      <c r="C53" s="47">
        <f>SUM(C54:C56)</f>
        <v>72556208.890000015</v>
      </c>
    </row>
    <row r="54" spans="2:6" ht="15.75" x14ac:dyDescent="0.3">
      <c r="B54" s="17" t="s">
        <v>148</v>
      </c>
      <c r="C54" s="46">
        <f>+'2025 RASHODI'!AB71</f>
        <v>145228.49</v>
      </c>
    </row>
    <row r="55" spans="2:6" ht="15.75" x14ac:dyDescent="0.3">
      <c r="B55" s="17" t="s">
        <v>150</v>
      </c>
      <c r="C55" s="46">
        <f>+'2025 RASHODI'!AB72</f>
        <v>272094.12</v>
      </c>
    </row>
    <row r="56" spans="2:6" ht="15.75" x14ac:dyDescent="0.3">
      <c r="B56" s="17" t="s">
        <v>313</v>
      </c>
      <c r="C56" s="46">
        <f>+'2025 RASHODI'!AB73</f>
        <v>72138886.280000016</v>
      </c>
    </row>
    <row r="57" spans="2:6" x14ac:dyDescent="0.25">
      <c r="B57" s="12" t="s">
        <v>154</v>
      </c>
      <c r="C57" s="47">
        <f>+'2025 RASHODI'!AB75</f>
        <v>179171324.29000002</v>
      </c>
    </row>
    <row r="58" spans="2:6" x14ac:dyDescent="0.25">
      <c r="B58" s="12" t="s">
        <v>169</v>
      </c>
      <c r="C58" s="47">
        <f>+'2025 RASHODI'!AB84</f>
        <v>160383.6</v>
      </c>
    </row>
    <row r="59" spans="2:6" x14ac:dyDescent="0.25">
      <c r="B59" s="18" t="s">
        <v>195</v>
      </c>
      <c r="C59" s="50">
        <f>+'2025 RASHODI'!AB99</f>
        <v>4839929.1400000006</v>
      </c>
    </row>
    <row r="60" spans="2:6" ht="16.5" thickBot="1" x14ac:dyDescent="0.35">
      <c r="B60" s="17" t="s">
        <v>190</v>
      </c>
      <c r="C60" s="46">
        <f>+'2025 RASHODI'!AB96</f>
        <v>28314909.649999999</v>
      </c>
    </row>
    <row r="61" spans="2:6" ht="16.5" thickTop="1" thickBot="1" x14ac:dyDescent="0.3">
      <c r="B61" s="14" t="s">
        <v>334</v>
      </c>
      <c r="C61" s="44">
        <f>+C3-C28</f>
        <v>-29595104.45479995</v>
      </c>
      <c r="E61" s="96">
        <f>+C61+C65+C69+C72+C73</f>
        <v>-8535944.5344249457</v>
      </c>
      <c r="F61" t="s">
        <v>336</v>
      </c>
    </row>
    <row r="62" spans="2:6" ht="16.5" thickTop="1" thickBot="1" x14ac:dyDescent="0.3">
      <c r="B62" s="14" t="s">
        <v>333</v>
      </c>
      <c r="C62" s="44">
        <f>+C61-C66-C70</f>
        <v>-48695145.304799944</v>
      </c>
      <c r="E62" s="96">
        <f>+C66+C70</f>
        <v>19100040.849999998</v>
      </c>
      <c r="F62" s="96" t="s">
        <v>337</v>
      </c>
    </row>
    <row r="63" spans="2:6" ht="16.5" thickTop="1" thickBot="1" x14ac:dyDescent="0.3">
      <c r="B63" s="14" t="s">
        <v>314</v>
      </c>
      <c r="C63" s="44">
        <f>+C65+C69+C72+C73+C74</f>
        <v>48695145.304799944</v>
      </c>
      <c r="E63" s="97">
        <f>+E61-E62</f>
        <v>-27635985.384424943</v>
      </c>
      <c r="F63" t="s">
        <v>338</v>
      </c>
    </row>
    <row r="64" spans="2:6" ht="15.75" thickTop="1" x14ac:dyDescent="0.25">
      <c r="B64" s="10" t="s">
        <v>315</v>
      </c>
      <c r="C64" s="45">
        <f>+C65-C66-C67</f>
        <v>-13468229.209999999</v>
      </c>
    </row>
    <row r="65" spans="2:5" ht="15.75" x14ac:dyDescent="0.3">
      <c r="B65" s="17" t="s">
        <v>316</v>
      </c>
      <c r="C65" s="46">
        <f>+'2025 PRIHODI'!AB61</f>
        <v>2661279.67</v>
      </c>
    </row>
    <row r="66" spans="2:5" ht="15.75" x14ac:dyDescent="0.3">
      <c r="B66" s="17" t="s">
        <v>179</v>
      </c>
      <c r="C66" s="46">
        <f>+'2025 RASHODI'!AB91</f>
        <v>16109508.879999999</v>
      </c>
    </row>
    <row r="67" spans="2:5" ht="15.75" x14ac:dyDescent="0.3">
      <c r="B67" s="17" t="s">
        <v>187</v>
      </c>
      <c r="C67" s="46">
        <f>+'2025 RASHODI'!AB94</f>
        <v>20000</v>
      </c>
    </row>
    <row r="68" spans="2:5" x14ac:dyDescent="0.25">
      <c r="B68" s="12" t="s">
        <v>317</v>
      </c>
      <c r="C68" s="47">
        <f>+C69-C70-C71</f>
        <v>-2529637.87</v>
      </c>
    </row>
    <row r="69" spans="2:5" ht="15.75" x14ac:dyDescent="0.3">
      <c r="B69" s="11" t="s">
        <v>318</v>
      </c>
      <c r="C69" s="46">
        <f>+'2025 PRIHODI'!AB62</f>
        <v>460894.10000000003</v>
      </c>
    </row>
    <row r="70" spans="2:5" ht="15.75" x14ac:dyDescent="0.3">
      <c r="B70" s="15" t="s">
        <v>179</v>
      </c>
      <c r="C70" s="46">
        <f>+'2025 RASHODI'!AB92</f>
        <v>2990531.97</v>
      </c>
    </row>
    <row r="71" spans="2:5" ht="15.75" x14ac:dyDescent="0.3">
      <c r="B71" s="15" t="s">
        <v>189</v>
      </c>
      <c r="C71" s="46">
        <f>+'2025 RASHODI'!AB95</f>
        <v>0</v>
      </c>
    </row>
    <row r="72" spans="2:5" x14ac:dyDescent="0.25">
      <c r="B72" s="12" t="s">
        <v>319</v>
      </c>
      <c r="C72" s="47">
        <f>+'2025 PRIHODI'!AB40</f>
        <v>8111872.1299999999</v>
      </c>
    </row>
    <row r="73" spans="2:5" ht="15.75" thickBot="1" x14ac:dyDescent="0.3">
      <c r="B73" s="18" t="s">
        <v>273</v>
      </c>
      <c r="C73" s="50">
        <f>+'2025 PRIHODI'!AB55+'2025 PRIHODI'!AB56</f>
        <v>9825114.0203750022</v>
      </c>
      <c r="E73" s="98" t="s">
        <v>335</v>
      </c>
    </row>
    <row r="74" spans="2:5" ht="16.5" thickTop="1" thickBot="1" x14ac:dyDescent="0.3">
      <c r="B74" s="19" t="s">
        <v>320</v>
      </c>
      <c r="C74" s="44">
        <f>-C62-C65-C69-C72-C73</f>
        <v>27635985.384424936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339</v>
      </c>
      <c r="B2" s="105"/>
      <c r="C2" s="282">
        <v>7034000000</v>
      </c>
      <c r="D2" s="283"/>
      <c r="E2" s="282">
        <v>7034000000</v>
      </c>
      <c r="F2" s="283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80" t="s">
        <v>405</v>
      </c>
      <c r="B4" s="284" t="s">
        <v>340</v>
      </c>
      <c r="C4" s="286" t="s">
        <v>408</v>
      </c>
      <c r="D4" s="287"/>
      <c r="E4" s="288" t="s">
        <v>407</v>
      </c>
      <c r="F4" s="289"/>
    </row>
    <row r="5" spans="1:16375" ht="23.25" customHeight="1" x14ac:dyDescent="0.2">
      <c r="A5" s="281"/>
      <c r="B5" s="285"/>
      <c r="C5" s="132" t="s">
        <v>341</v>
      </c>
      <c r="D5" s="133" t="s">
        <v>409</v>
      </c>
      <c r="E5" s="132" t="s">
        <v>341</v>
      </c>
      <c r="F5" s="133" t="s">
        <v>342</v>
      </c>
    </row>
    <row r="6" spans="1:16375" s="108" customFormat="1" ht="15" customHeight="1" x14ac:dyDescent="0.3">
      <c r="A6" s="134"/>
      <c r="B6" s="137" t="s">
        <v>343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344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345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346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347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348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349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350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351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352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353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354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355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356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357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358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359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360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361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362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406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363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364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365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366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367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368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365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369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370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371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372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373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374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375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376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377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378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379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380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381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382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383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384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385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386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387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388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389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390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391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392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393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394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395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396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397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385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398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399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400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401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402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369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403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404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97" t="s">
        <v>324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8"/>
      <c r="N1" s="298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9"/>
      <c r="AZ1" s="299"/>
    </row>
    <row r="2" spans="1:187" ht="15" customHeight="1" x14ac:dyDescent="0.25">
      <c r="A2" s="300" t="s">
        <v>410</v>
      </c>
      <c r="B2" s="300" t="s">
        <v>411</v>
      </c>
      <c r="C2" s="294" t="s">
        <v>2</v>
      </c>
      <c r="D2" s="294"/>
      <c r="E2" s="294" t="s">
        <v>3</v>
      </c>
      <c r="F2" s="294"/>
      <c r="G2" s="294" t="s">
        <v>4</v>
      </c>
      <c r="H2" s="294"/>
      <c r="I2" s="294" t="s">
        <v>5</v>
      </c>
      <c r="J2" s="294"/>
      <c r="K2" s="294" t="s">
        <v>6</v>
      </c>
      <c r="L2" s="294"/>
      <c r="M2" s="301" t="s">
        <v>22</v>
      </c>
      <c r="N2" s="302"/>
      <c r="O2" s="294" t="s">
        <v>7</v>
      </c>
      <c r="P2" s="294"/>
      <c r="Q2" s="294" t="s">
        <v>8</v>
      </c>
      <c r="R2" s="294"/>
      <c r="S2" s="294" t="s">
        <v>9</v>
      </c>
      <c r="T2" s="294"/>
      <c r="U2" s="294" t="s">
        <v>10</v>
      </c>
      <c r="V2" s="294"/>
      <c r="W2" s="294" t="s">
        <v>11</v>
      </c>
      <c r="X2" s="294"/>
      <c r="Y2" s="294" t="s">
        <v>12</v>
      </c>
      <c r="Z2" s="294"/>
      <c r="AA2" s="294" t="s">
        <v>13</v>
      </c>
      <c r="AB2" s="294"/>
      <c r="AC2" s="294" t="s">
        <v>14</v>
      </c>
      <c r="AD2" s="294"/>
      <c r="AE2" s="294" t="s">
        <v>15</v>
      </c>
      <c r="AF2" s="294"/>
      <c r="AG2" s="294" t="s">
        <v>16</v>
      </c>
      <c r="AH2" s="294"/>
      <c r="AI2" s="294" t="s">
        <v>17</v>
      </c>
      <c r="AJ2" s="294"/>
      <c r="AK2" s="294" t="s">
        <v>18</v>
      </c>
      <c r="AL2" s="294"/>
      <c r="AM2" s="294" t="s">
        <v>19</v>
      </c>
      <c r="AN2" s="294"/>
      <c r="AO2" s="294" t="s">
        <v>20</v>
      </c>
      <c r="AP2" s="294"/>
      <c r="AQ2" s="294" t="s">
        <v>21</v>
      </c>
      <c r="AR2" s="294"/>
      <c r="AS2" s="294" t="s">
        <v>23</v>
      </c>
      <c r="AT2" s="294"/>
      <c r="AU2" s="294" t="s">
        <v>24</v>
      </c>
      <c r="AV2" s="294"/>
      <c r="AW2" s="295" t="s">
        <v>25</v>
      </c>
      <c r="AX2" s="296"/>
      <c r="AY2" s="295" t="s">
        <v>325</v>
      </c>
      <c r="AZ2" s="296"/>
      <c r="BA2" s="290" t="s">
        <v>412</v>
      </c>
      <c r="BB2" s="290" t="s">
        <v>413</v>
      </c>
      <c r="BF2" s="145">
        <v>7034000000</v>
      </c>
    </row>
    <row r="3" spans="1:187" ht="38.25" customHeight="1" x14ac:dyDescent="0.25">
      <c r="A3" s="300"/>
      <c r="B3" s="300"/>
      <c r="C3" s="143" t="s">
        <v>327</v>
      </c>
      <c r="D3" s="143" t="s">
        <v>328</v>
      </c>
      <c r="E3" s="143" t="s">
        <v>327</v>
      </c>
      <c r="F3" s="143" t="s">
        <v>328</v>
      </c>
      <c r="G3" s="143" t="s">
        <v>327</v>
      </c>
      <c r="H3" s="143" t="s">
        <v>328</v>
      </c>
      <c r="I3" s="143" t="s">
        <v>327</v>
      </c>
      <c r="J3" s="143" t="s">
        <v>328</v>
      </c>
      <c r="K3" s="143" t="s">
        <v>327</v>
      </c>
      <c r="L3" s="143" t="s">
        <v>328</v>
      </c>
      <c r="M3" s="139" t="s">
        <v>327</v>
      </c>
      <c r="N3" s="139" t="s">
        <v>328</v>
      </c>
      <c r="O3" s="143" t="s">
        <v>327</v>
      </c>
      <c r="P3" s="143" t="s">
        <v>328</v>
      </c>
      <c r="Q3" s="143" t="s">
        <v>327</v>
      </c>
      <c r="R3" s="143" t="s">
        <v>328</v>
      </c>
      <c r="S3" s="143" t="s">
        <v>327</v>
      </c>
      <c r="T3" s="143" t="s">
        <v>328</v>
      </c>
      <c r="U3" s="143" t="s">
        <v>327</v>
      </c>
      <c r="V3" s="143" t="s">
        <v>328</v>
      </c>
      <c r="W3" s="143" t="s">
        <v>327</v>
      </c>
      <c r="X3" s="143" t="s">
        <v>328</v>
      </c>
      <c r="Y3" s="143" t="s">
        <v>327</v>
      </c>
      <c r="Z3" s="143" t="s">
        <v>328</v>
      </c>
      <c r="AA3" s="143" t="s">
        <v>327</v>
      </c>
      <c r="AB3" s="143" t="s">
        <v>328</v>
      </c>
      <c r="AC3" s="143" t="s">
        <v>327</v>
      </c>
      <c r="AD3" s="143" t="s">
        <v>328</v>
      </c>
      <c r="AE3" s="143" t="s">
        <v>327</v>
      </c>
      <c r="AF3" s="143" t="s">
        <v>328</v>
      </c>
      <c r="AG3" s="143" t="s">
        <v>327</v>
      </c>
      <c r="AH3" s="143" t="s">
        <v>328</v>
      </c>
      <c r="AI3" s="143" t="s">
        <v>327</v>
      </c>
      <c r="AJ3" s="143" t="s">
        <v>328</v>
      </c>
      <c r="AK3" s="143" t="s">
        <v>327</v>
      </c>
      <c r="AL3" s="143" t="s">
        <v>328</v>
      </c>
      <c r="AM3" s="143" t="s">
        <v>327</v>
      </c>
      <c r="AN3" s="143" t="s">
        <v>328</v>
      </c>
      <c r="AO3" s="143" t="s">
        <v>327</v>
      </c>
      <c r="AP3" s="143" t="s">
        <v>328</v>
      </c>
      <c r="AQ3" s="143" t="s">
        <v>327</v>
      </c>
      <c r="AR3" s="143" t="s">
        <v>328</v>
      </c>
      <c r="AS3" s="143" t="s">
        <v>327</v>
      </c>
      <c r="AT3" s="143" t="s">
        <v>328</v>
      </c>
      <c r="AU3" s="143" t="s">
        <v>327</v>
      </c>
      <c r="AV3" s="143" t="s">
        <v>328</v>
      </c>
      <c r="AW3" s="143" t="s">
        <v>327</v>
      </c>
      <c r="AX3" s="143" t="s">
        <v>328</v>
      </c>
      <c r="AY3" s="143" t="s">
        <v>327</v>
      </c>
      <c r="AZ3" s="143" t="s">
        <v>328</v>
      </c>
      <c r="BA3" s="291"/>
      <c r="BB3" s="291"/>
    </row>
    <row r="4" spans="1:187" x14ac:dyDescent="0.25">
      <c r="A4" s="5" t="s">
        <v>27</v>
      </c>
      <c r="B4" s="55" t="s">
        <v>414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415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294</v>
      </c>
      <c r="B6" s="3" t="s">
        <v>421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296</v>
      </c>
      <c r="B7" s="3" t="s">
        <v>422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416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414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415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294</v>
      </c>
      <c r="B11" s="3" t="s">
        <v>421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296</v>
      </c>
      <c r="B12" s="3" t="s">
        <v>422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92" t="s">
        <v>417</v>
      </c>
      <c r="B14" s="293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418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419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92" t="s">
        <v>420</v>
      </c>
      <c r="B17" s="293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323</v>
      </c>
      <c r="AN21" t="s">
        <v>323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323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97" t="s">
        <v>283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8"/>
      <c r="N1" s="298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9"/>
      <c r="BB1" s="299"/>
    </row>
    <row r="2" spans="1:54" x14ac:dyDescent="0.25">
      <c r="A2" s="300" t="s">
        <v>410</v>
      </c>
      <c r="B2" s="300" t="s">
        <v>426</v>
      </c>
      <c r="C2" s="294" t="s">
        <v>2</v>
      </c>
      <c r="D2" s="294"/>
      <c r="E2" s="294" t="s">
        <v>3</v>
      </c>
      <c r="F2" s="294"/>
      <c r="G2" s="294" t="s">
        <v>4</v>
      </c>
      <c r="H2" s="294"/>
      <c r="I2" s="294" t="s">
        <v>5</v>
      </c>
      <c r="J2" s="294"/>
      <c r="K2" s="294" t="s">
        <v>6</v>
      </c>
      <c r="L2" s="294"/>
      <c r="M2" s="294" t="s">
        <v>22</v>
      </c>
      <c r="N2" s="294"/>
      <c r="O2" s="294" t="s">
        <v>7</v>
      </c>
      <c r="P2" s="294"/>
      <c r="Q2" s="294" t="s">
        <v>8</v>
      </c>
      <c r="R2" s="294"/>
      <c r="S2" s="294" t="s">
        <v>9</v>
      </c>
      <c r="T2" s="294"/>
      <c r="U2" s="294" t="s">
        <v>10</v>
      </c>
      <c r="V2" s="294"/>
      <c r="W2" s="294" t="s">
        <v>11</v>
      </c>
      <c r="X2" s="294"/>
      <c r="Y2" s="294" t="s">
        <v>12</v>
      </c>
      <c r="Z2" s="294"/>
      <c r="AA2" s="294" t="s">
        <v>13</v>
      </c>
      <c r="AB2" s="294"/>
      <c r="AC2" s="294" t="s">
        <v>14</v>
      </c>
      <c r="AD2" s="294"/>
      <c r="AE2" s="294" t="s">
        <v>15</v>
      </c>
      <c r="AF2" s="294"/>
      <c r="AG2" s="294" t="s">
        <v>16</v>
      </c>
      <c r="AH2" s="294"/>
      <c r="AI2" s="294" t="s">
        <v>17</v>
      </c>
      <c r="AJ2" s="294"/>
      <c r="AK2" s="294" t="s">
        <v>18</v>
      </c>
      <c r="AL2" s="294"/>
      <c r="AM2" s="294" t="s">
        <v>19</v>
      </c>
      <c r="AN2" s="294"/>
      <c r="AO2" s="294" t="s">
        <v>20</v>
      </c>
      <c r="AP2" s="294"/>
      <c r="AQ2" s="294" t="s">
        <v>21</v>
      </c>
      <c r="AR2" s="294"/>
      <c r="AS2" s="294" t="s">
        <v>23</v>
      </c>
      <c r="AT2" s="294"/>
      <c r="AU2" s="294" t="s">
        <v>24</v>
      </c>
      <c r="AV2" s="294"/>
      <c r="AW2" s="295" t="s">
        <v>25</v>
      </c>
      <c r="AX2" s="296"/>
      <c r="AY2" s="305" t="s">
        <v>325</v>
      </c>
      <c r="AZ2" s="306"/>
      <c r="BA2" s="307" t="s">
        <v>423</v>
      </c>
      <c r="BB2" s="303" t="s">
        <v>424</v>
      </c>
    </row>
    <row r="3" spans="1:54" ht="51" x14ac:dyDescent="0.25">
      <c r="A3" s="300"/>
      <c r="B3" s="300"/>
      <c r="C3" s="143" t="s">
        <v>329</v>
      </c>
      <c r="D3" s="143" t="s">
        <v>330</v>
      </c>
      <c r="E3" s="143" t="s">
        <v>329</v>
      </c>
      <c r="F3" s="143" t="s">
        <v>330</v>
      </c>
      <c r="G3" s="143" t="s">
        <v>329</v>
      </c>
      <c r="H3" s="143" t="s">
        <v>330</v>
      </c>
      <c r="I3" s="143" t="s">
        <v>329</v>
      </c>
      <c r="J3" s="143" t="s">
        <v>330</v>
      </c>
      <c r="K3" s="143" t="s">
        <v>329</v>
      </c>
      <c r="L3" s="143" t="s">
        <v>330</v>
      </c>
      <c r="M3" s="143" t="s">
        <v>329</v>
      </c>
      <c r="N3" s="143" t="s">
        <v>330</v>
      </c>
      <c r="O3" s="143" t="s">
        <v>329</v>
      </c>
      <c r="P3" s="143" t="s">
        <v>330</v>
      </c>
      <c r="Q3" s="143" t="s">
        <v>329</v>
      </c>
      <c r="R3" s="143" t="s">
        <v>330</v>
      </c>
      <c r="S3" s="143" t="s">
        <v>329</v>
      </c>
      <c r="T3" s="143" t="s">
        <v>330</v>
      </c>
      <c r="U3" s="143" t="s">
        <v>329</v>
      </c>
      <c r="V3" s="143" t="s">
        <v>330</v>
      </c>
      <c r="W3" s="143" t="s">
        <v>329</v>
      </c>
      <c r="X3" s="143" t="s">
        <v>330</v>
      </c>
      <c r="Y3" s="143" t="s">
        <v>329</v>
      </c>
      <c r="Z3" s="143" t="s">
        <v>330</v>
      </c>
      <c r="AA3" s="143" t="s">
        <v>329</v>
      </c>
      <c r="AB3" s="143" t="s">
        <v>330</v>
      </c>
      <c r="AC3" s="143" t="s">
        <v>329</v>
      </c>
      <c r="AD3" s="143" t="s">
        <v>330</v>
      </c>
      <c r="AE3" s="143" t="s">
        <v>329</v>
      </c>
      <c r="AF3" s="143" t="s">
        <v>330</v>
      </c>
      <c r="AG3" s="143" t="s">
        <v>329</v>
      </c>
      <c r="AH3" s="143" t="s">
        <v>330</v>
      </c>
      <c r="AI3" s="143" t="s">
        <v>329</v>
      </c>
      <c r="AJ3" s="143" t="s">
        <v>330</v>
      </c>
      <c r="AK3" s="143" t="s">
        <v>329</v>
      </c>
      <c r="AL3" s="143" t="s">
        <v>330</v>
      </c>
      <c r="AM3" s="143" t="s">
        <v>329</v>
      </c>
      <c r="AN3" s="143" t="s">
        <v>330</v>
      </c>
      <c r="AO3" s="143" t="s">
        <v>329</v>
      </c>
      <c r="AP3" s="143" t="s">
        <v>330</v>
      </c>
      <c r="AQ3" s="143" t="s">
        <v>329</v>
      </c>
      <c r="AR3" s="143" t="s">
        <v>330</v>
      </c>
      <c r="AS3" s="143" t="s">
        <v>329</v>
      </c>
      <c r="AT3" s="143" t="s">
        <v>330</v>
      </c>
      <c r="AU3" s="143" t="s">
        <v>329</v>
      </c>
      <c r="AV3" s="143" t="s">
        <v>330</v>
      </c>
      <c r="AW3" s="143" t="s">
        <v>329</v>
      </c>
      <c r="AX3" s="143" t="s">
        <v>330</v>
      </c>
      <c r="AY3" s="143" t="s">
        <v>329</v>
      </c>
      <c r="AZ3" s="143" t="s">
        <v>330</v>
      </c>
      <c r="BA3" s="291"/>
      <c r="BB3" s="304"/>
    </row>
    <row r="4" spans="1:54" x14ac:dyDescent="0.25">
      <c r="A4" s="6" t="s">
        <v>27</v>
      </c>
      <c r="B4" s="2" t="s">
        <v>427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428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429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430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431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432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433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434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294</v>
      </c>
      <c r="B12" s="7" t="s">
        <v>435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296</v>
      </c>
      <c r="B13" s="3" t="s">
        <v>436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298</v>
      </c>
      <c r="B14" s="2" t="s">
        <v>437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300</v>
      </c>
      <c r="B15" s="2" t="s">
        <v>438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322</v>
      </c>
      <c r="B16" s="2" t="s">
        <v>439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300" t="s">
        <v>425</v>
      </c>
      <c r="B17" s="300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323</v>
      </c>
    </row>
    <row r="21" spans="1:59" x14ac:dyDescent="0.25">
      <c r="L21" t="s">
        <v>323</v>
      </c>
      <c r="AF21" t="s">
        <v>323</v>
      </c>
      <c r="AN21" t="s">
        <v>323</v>
      </c>
      <c r="AT21" s="78"/>
    </row>
    <row r="23" spans="1:59" x14ac:dyDescent="0.25">
      <c r="T23" t="s">
        <v>323</v>
      </c>
    </row>
    <row r="24" spans="1:59" x14ac:dyDescent="0.25">
      <c r="AO24" t="s">
        <v>323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2025 PRIHODI</vt:lpstr>
      <vt:lpstr>2025 RASHODI</vt:lpstr>
      <vt:lpstr>2025 NEIZMIRENE OBAVEZE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Aleksandar Mihaljevic</cp:lastModifiedBy>
  <cp:lastPrinted>2025-02-26T13:51:29Z</cp:lastPrinted>
  <dcterms:created xsi:type="dcterms:W3CDTF">2020-07-15T12:38:26Z</dcterms:created>
  <dcterms:modified xsi:type="dcterms:W3CDTF">2026-05-11T06:27:07Z</dcterms:modified>
</cp:coreProperties>
</file>