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4C70B5A5-E94F-44A1-8109-3550EABC1238}" xr6:coauthVersionLast="36" xr6:coauthVersionMax="36" xr10:uidLastSave="{00000000-0000-0000-0000-000000000000}"/>
  <workbookProtection workbookAlgorithmName="SHA-512" workbookHashValue="AJoiu7QKlVVtIBR3tOMug3Q3reCZGc8Hkgaur8sZm7z16W1NjDgmCJ9bl4kKrZ9beMgPtfUB9HD+gqzEYywVMA==" workbookSaltValue="U0t6/Ao7bXjGA+4UkdL68A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2" i="11"/>
  <c r="N63" i="11"/>
  <c r="N64" i="11"/>
  <c r="N65" i="11"/>
  <c r="N10" i="11"/>
  <c r="R40" i="29" l="1"/>
  <c r="Q40" i="29"/>
  <c r="P40" i="29"/>
  <c r="O40" i="29"/>
  <c r="N40" i="29"/>
  <c r="M40" i="29"/>
  <c r="L40" i="29"/>
  <c r="K40" i="29"/>
  <c r="J40" i="29"/>
  <c r="J29" i="29" s="1"/>
  <c r="I40" i="29"/>
  <c r="I29" i="29" s="1"/>
  <c r="H40" i="29"/>
  <c r="G40" i="29"/>
  <c r="R30" i="29"/>
  <c r="Q30" i="29"/>
  <c r="P30" i="29"/>
  <c r="P29" i="29" s="1"/>
  <c r="O30" i="29"/>
  <c r="N30" i="29"/>
  <c r="N29" i="29" s="1"/>
  <c r="M30" i="29"/>
  <c r="L30" i="29"/>
  <c r="L29" i="29" s="1"/>
  <c r="K30" i="29"/>
  <c r="K29" i="29" s="1"/>
  <c r="J30" i="29"/>
  <c r="I30" i="29"/>
  <c r="H30" i="29"/>
  <c r="G30" i="29"/>
  <c r="R29" i="29"/>
  <c r="Q29" i="29"/>
  <c r="O29" i="29"/>
  <c r="M29" i="29"/>
  <c r="H29" i="29"/>
  <c r="G2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A142" i="29" l="1"/>
  <c r="B142" i="29" s="1"/>
  <c r="S141" i="29"/>
  <c r="T141" i="29" s="1"/>
  <c r="S140" i="29"/>
  <c r="T140" i="29" s="1"/>
  <c r="A140" i="29"/>
  <c r="B140" i="29" s="1"/>
  <c r="S139" i="29"/>
  <c r="T139" i="29" s="1"/>
  <c r="A139" i="29"/>
  <c r="B139" i="29" s="1"/>
  <c r="S138" i="29"/>
  <c r="T138" i="29" s="1"/>
  <c r="A138" i="29"/>
  <c r="B138" i="29" s="1"/>
  <c r="A137" i="29"/>
  <c r="B137" i="29" s="1"/>
  <c r="A136" i="29"/>
  <c r="B136" i="29" s="1"/>
  <c r="S135" i="29"/>
  <c r="T135" i="29" s="1"/>
  <c r="S134" i="29"/>
  <c r="T134" i="29" s="1"/>
  <c r="A134" i="29"/>
  <c r="B134" i="29" s="1"/>
  <c r="S133" i="29"/>
  <c r="T133" i="29" s="1"/>
  <c r="A133" i="29"/>
  <c r="B133" i="29" s="1"/>
  <c r="S132" i="29"/>
  <c r="T132" i="29" s="1"/>
  <c r="A132" i="29"/>
  <c r="B132" i="29" s="1"/>
  <c r="S131" i="29"/>
  <c r="T131" i="29" s="1"/>
  <c r="A131" i="29"/>
  <c r="B131" i="29" s="1"/>
  <c r="A130" i="29"/>
  <c r="B130" i="29" s="1"/>
  <c r="J129" i="29"/>
  <c r="J130" i="29" s="1"/>
  <c r="A129" i="29"/>
  <c r="B129" i="29" s="1"/>
  <c r="S128" i="29"/>
  <c r="T128" i="29" s="1"/>
  <c r="A128" i="29"/>
  <c r="B128" i="29" s="1"/>
  <c r="S127" i="29"/>
  <c r="T127" i="29" s="1"/>
  <c r="A127" i="29"/>
  <c r="B127" i="29" s="1"/>
  <c r="S126" i="29"/>
  <c r="T126" i="29" s="1"/>
  <c r="A126" i="29"/>
  <c r="B126" i="29" s="1"/>
  <c r="S125" i="29"/>
  <c r="T125" i="29" s="1"/>
  <c r="A125" i="29"/>
  <c r="B125" i="29" s="1"/>
  <c r="S124" i="29"/>
  <c r="T124" i="29" s="1"/>
  <c r="A124" i="29"/>
  <c r="B124" i="29" s="1"/>
  <c r="S123" i="29"/>
  <c r="T123" i="29" s="1"/>
  <c r="A123" i="29"/>
  <c r="B123" i="29" s="1"/>
  <c r="S122" i="29"/>
  <c r="T122" i="29" s="1"/>
  <c r="A122" i="29"/>
  <c r="B122" i="29" s="1"/>
  <c r="S121" i="29"/>
  <c r="T121" i="29" s="1"/>
  <c r="A121" i="29"/>
  <c r="B121" i="29" s="1"/>
  <c r="S120" i="29"/>
  <c r="T120" i="29" s="1"/>
  <c r="A120" i="29"/>
  <c r="B120" i="29" s="1"/>
  <c r="S119" i="29"/>
  <c r="T119" i="29" s="1"/>
  <c r="A119" i="29"/>
  <c r="B119" i="29" s="1"/>
  <c r="S118" i="29"/>
  <c r="T118" i="29" s="1"/>
  <c r="A118" i="29"/>
  <c r="B118" i="29" s="1"/>
  <c r="S117" i="29"/>
  <c r="T117" i="29" s="1"/>
  <c r="A117" i="29"/>
  <c r="B117" i="29" s="1"/>
  <c r="R116" i="29"/>
  <c r="Q116" i="29"/>
  <c r="P116" i="29"/>
  <c r="O116" i="29"/>
  <c r="N116" i="29"/>
  <c r="N105" i="29" s="1"/>
  <c r="N129" i="29" s="1"/>
  <c r="M116" i="29"/>
  <c r="M105" i="29" s="1"/>
  <c r="M129" i="29" s="1"/>
  <c r="L116" i="29"/>
  <c r="K116" i="29"/>
  <c r="J116" i="29"/>
  <c r="I116" i="29"/>
  <c r="S116" i="29" s="1"/>
  <c r="T116" i="29" s="1"/>
  <c r="H116" i="29"/>
  <c r="G116" i="29"/>
  <c r="A116" i="29"/>
  <c r="B116" i="29" s="1"/>
  <c r="S115" i="29"/>
  <c r="T115" i="29" s="1"/>
  <c r="A115" i="29"/>
  <c r="B115" i="29" s="1"/>
  <c r="S114" i="29"/>
  <c r="T114" i="29" s="1"/>
  <c r="A114" i="29"/>
  <c r="B114" i="29" s="1"/>
  <c r="S113" i="29"/>
  <c r="T113" i="29" s="1"/>
  <c r="A113" i="29"/>
  <c r="B113" i="29" s="1"/>
  <c r="S112" i="29"/>
  <c r="T112" i="29" s="1"/>
  <c r="A112" i="29"/>
  <c r="B112" i="29" s="1"/>
  <c r="S111" i="29"/>
  <c r="T111" i="29" s="1"/>
  <c r="A111" i="29"/>
  <c r="B111" i="29" s="1"/>
  <c r="S110" i="29"/>
  <c r="T110" i="29" s="1"/>
  <c r="A110" i="29"/>
  <c r="B110" i="29" s="1"/>
  <c r="S109" i="29"/>
  <c r="T109" i="29" s="1"/>
  <c r="A109" i="29"/>
  <c r="B109" i="29" s="1"/>
  <c r="S108" i="29"/>
  <c r="T108" i="29" s="1"/>
  <c r="A108" i="29"/>
  <c r="B108" i="29" s="1"/>
  <c r="S107" i="29"/>
  <c r="T107" i="29" s="1"/>
  <c r="A107" i="29"/>
  <c r="B107" i="29" s="1"/>
  <c r="R106" i="29"/>
  <c r="R105" i="29" s="1"/>
  <c r="R129" i="29" s="1"/>
  <c r="Q106" i="29"/>
  <c r="Q105" i="29" s="1"/>
  <c r="Q129" i="29" s="1"/>
  <c r="P106" i="29"/>
  <c r="P105" i="29" s="1"/>
  <c r="P129" i="29" s="1"/>
  <c r="O106" i="29"/>
  <c r="O105" i="29" s="1"/>
  <c r="O129" i="29" s="1"/>
  <c r="N106" i="29"/>
  <c r="M106" i="29"/>
  <c r="L106" i="29"/>
  <c r="K106" i="29"/>
  <c r="J106" i="29"/>
  <c r="I106" i="29"/>
  <c r="I105" i="29" s="1"/>
  <c r="I129" i="29" s="1"/>
  <c r="H106" i="29"/>
  <c r="H105" i="29" s="1"/>
  <c r="H129" i="29" s="1"/>
  <c r="G106" i="29"/>
  <c r="G105" i="29" s="1"/>
  <c r="A106" i="29"/>
  <c r="B106" i="29" s="1"/>
  <c r="L105" i="29"/>
  <c r="L129" i="29" s="1"/>
  <c r="K105" i="29"/>
  <c r="K129" i="29" s="1"/>
  <c r="J105" i="29"/>
  <c r="A105" i="29"/>
  <c r="B105" i="29" s="1"/>
  <c r="S104" i="29"/>
  <c r="T104" i="29" s="1"/>
  <c r="A104" i="29"/>
  <c r="B104" i="29" s="1"/>
  <c r="S103" i="29"/>
  <c r="T103" i="29" s="1"/>
  <c r="A103" i="29"/>
  <c r="B103" i="29" s="1"/>
  <c r="S102" i="29"/>
  <c r="T102" i="29" s="1"/>
  <c r="A102" i="29"/>
  <c r="B102" i="29" s="1"/>
  <c r="S101" i="29"/>
  <c r="T101" i="29" s="1"/>
  <c r="A101" i="29"/>
  <c r="B101" i="29" s="1"/>
  <c r="S100" i="29"/>
  <c r="T100" i="29" s="1"/>
  <c r="A100" i="29"/>
  <c r="B100" i="29" s="1"/>
  <c r="S99" i="29"/>
  <c r="T99" i="29" s="1"/>
  <c r="A99" i="29"/>
  <c r="B99" i="29" s="1"/>
  <c r="S98" i="29"/>
  <c r="T98" i="29" s="1"/>
  <c r="A98" i="29"/>
  <c r="B98" i="29" s="1"/>
  <c r="S97" i="29"/>
  <c r="T97" i="29" s="1"/>
  <c r="A97" i="29"/>
  <c r="B97" i="29" s="1"/>
  <c r="S96" i="29"/>
  <c r="T96" i="29" s="1"/>
  <c r="A96" i="29"/>
  <c r="B96" i="29" s="1"/>
  <c r="S95" i="29"/>
  <c r="T95" i="29" s="1"/>
  <c r="A95" i="29"/>
  <c r="B95" i="29" s="1"/>
  <c r="S94" i="29"/>
  <c r="T94" i="29" s="1"/>
  <c r="A94" i="29"/>
  <c r="B94" i="29" s="1"/>
  <c r="S93" i="29"/>
  <c r="T93" i="29" s="1"/>
  <c r="A93" i="29"/>
  <c r="B93" i="29" s="1"/>
  <c r="S92" i="29"/>
  <c r="T92" i="29" s="1"/>
  <c r="A92" i="29"/>
  <c r="B92" i="29" s="1"/>
  <c r="S91" i="29"/>
  <c r="T91" i="29" s="1"/>
  <c r="A91" i="29"/>
  <c r="B91" i="29" s="1"/>
  <c r="S90" i="29"/>
  <c r="T90" i="29" s="1"/>
  <c r="A90" i="29"/>
  <c r="B90" i="29" s="1"/>
  <c r="S89" i="29"/>
  <c r="T89" i="29" s="1"/>
  <c r="A89" i="29"/>
  <c r="B89" i="29" s="1"/>
  <c r="S88" i="29"/>
  <c r="T88" i="29" s="1"/>
  <c r="A88" i="29"/>
  <c r="B88" i="29" s="1"/>
  <c r="S87" i="29"/>
  <c r="T87" i="29" s="1"/>
  <c r="A87" i="29"/>
  <c r="B87" i="29" s="1"/>
  <c r="S86" i="29"/>
  <c r="T86" i="29" s="1"/>
  <c r="A86" i="29"/>
  <c r="B86" i="29" s="1"/>
  <c r="T84" i="29"/>
  <c r="S84" i="29"/>
  <c r="O84" i="29"/>
  <c r="N84" i="29"/>
  <c r="T83" i="29"/>
  <c r="B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B66" i="29"/>
  <c r="S65" i="29"/>
  <c r="T65" i="29" s="1"/>
  <c r="S64" i="29"/>
  <c r="T64" i="29" s="1"/>
  <c r="B64" i="29"/>
  <c r="T63" i="29"/>
  <c r="S63" i="29"/>
  <c r="B63" i="29"/>
  <c r="S62" i="29"/>
  <c r="T62" i="29" s="1"/>
  <c r="B62" i="29"/>
  <c r="B61" i="29"/>
  <c r="B60" i="29"/>
  <c r="S59" i="29"/>
  <c r="T59" i="29" s="1"/>
  <c r="B59" i="29"/>
  <c r="S58" i="29"/>
  <c r="T58" i="29" s="1"/>
  <c r="B58" i="29"/>
  <c r="S57" i="29"/>
  <c r="T57" i="29" s="1"/>
  <c r="B57" i="29"/>
  <c r="S56" i="29"/>
  <c r="T56" i="29" s="1"/>
  <c r="B56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B55" i="29"/>
  <c r="B54" i="29"/>
  <c r="B53" i="29"/>
  <c r="S52" i="29"/>
  <c r="T52" i="29" s="1"/>
  <c r="B52" i="29"/>
  <c r="S51" i="29"/>
  <c r="T51" i="29" s="1"/>
  <c r="B51" i="29"/>
  <c r="S50" i="29"/>
  <c r="T50" i="29" s="1"/>
  <c r="B50" i="29"/>
  <c r="S49" i="29"/>
  <c r="T49" i="29" s="1"/>
  <c r="B49" i="29"/>
  <c r="S48" i="29"/>
  <c r="T48" i="29" s="1"/>
  <c r="B48" i="29"/>
  <c r="S47" i="29"/>
  <c r="T47" i="29" s="1"/>
  <c r="B47" i="29"/>
  <c r="S46" i="29"/>
  <c r="T46" i="29" s="1"/>
  <c r="B46" i="29"/>
  <c r="S45" i="29"/>
  <c r="T45" i="29" s="1"/>
  <c r="B45" i="29"/>
  <c r="T44" i="29"/>
  <c r="S44" i="29"/>
  <c r="B44" i="29"/>
  <c r="S43" i="29"/>
  <c r="T43" i="29" s="1"/>
  <c r="B43" i="29"/>
  <c r="S42" i="29"/>
  <c r="T42" i="29" s="1"/>
  <c r="B42" i="29"/>
  <c r="T41" i="29"/>
  <c r="S41" i="29"/>
  <c r="B41" i="29"/>
  <c r="B40" i="29"/>
  <c r="S39" i="29"/>
  <c r="T39" i="29" s="1"/>
  <c r="B39" i="29"/>
  <c r="S38" i="29"/>
  <c r="T38" i="29" s="1"/>
  <c r="B38" i="29"/>
  <c r="T37" i="29"/>
  <c r="S37" i="29"/>
  <c r="B37" i="29"/>
  <c r="S36" i="29"/>
  <c r="T36" i="29" s="1"/>
  <c r="B36" i="29"/>
  <c r="S35" i="29"/>
  <c r="T35" i="29" s="1"/>
  <c r="B35" i="29"/>
  <c r="S34" i="29"/>
  <c r="T34" i="29" s="1"/>
  <c r="B34" i="29"/>
  <c r="S33" i="29"/>
  <c r="T33" i="29" s="1"/>
  <c r="B33" i="29"/>
  <c r="S32" i="29"/>
  <c r="T32" i="29" s="1"/>
  <c r="B32" i="29"/>
  <c r="S31" i="29"/>
  <c r="T31" i="29" s="1"/>
  <c r="B31" i="29"/>
  <c r="S30" i="29"/>
  <c r="T30" i="29" s="1"/>
  <c r="B30" i="29"/>
  <c r="B29" i="29"/>
  <c r="S28" i="29"/>
  <c r="T28" i="29" s="1"/>
  <c r="B28" i="29"/>
  <c r="S27" i="29"/>
  <c r="T27" i="29" s="1"/>
  <c r="B27" i="29"/>
  <c r="S26" i="29"/>
  <c r="T26" i="29" s="1"/>
  <c r="B26" i="29"/>
  <c r="S25" i="29"/>
  <c r="T25" i="29" s="1"/>
  <c r="B25" i="29"/>
  <c r="S24" i="29"/>
  <c r="T24" i="29" s="1"/>
  <c r="B24" i="29"/>
  <c r="S23" i="29"/>
  <c r="T23" i="29" s="1"/>
  <c r="B23" i="29"/>
  <c r="S22" i="29"/>
  <c r="T22" i="29" s="1"/>
  <c r="B22" i="29"/>
  <c r="S21" i="29"/>
  <c r="T21" i="29" s="1"/>
  <c r="B21" i="29"/>
  <c r="S20" i="29"/>
  <c r="T20" i="29" s="1"/>
  <c r="B20" i="29"/>
  <c r="K10" i="29"/>
  <c r="K53" i="29" s="1"/>
  <c r="B19" i="29"/>
  <c r="S18" i="29"/>
  <c r="T18" i="29" s="1"/>
  <c r="B18" i="29"/>
  <c r="S17" i="29"/>
  <c r="T17" i="29" s="1"/>
  <c r="B17" i="29"/>
  <c r="S16" i="29"/>
  <c r="T16" i="29" s="1"/>
  <c r="B16" i="29"/>
  <c r="S15" i="29"/>
  <c r="T15" i="29" s="1"/>
  <c r="B15" i="29"/>
  <c r="S14" i="29"/>
  <c r="T14" i="29" s="1"/>
  <c r="B14" i="29"/>
  <c r="T13" i="29"/>
  <c r="S13" i="29"/>
  <c r="B13" i="29"/>
  <c r="S12" i="29"/>
  <c r="T12" i="29" s="1"/>
  <c r="B12" i="29"/>
  <c r="R10" i="29"/>
  <c r="Q10" i="29"/>
  <c r="P10" i="29"/>
  <c r="J10" i="29"/>
  <c r="J53" i="29" s="1"/>
  <c r="I10" i="29"/>
  <c r="I53" i="29" s="1"/>
  <c r="H10" i="29"/>
  <c r="B11" i="29"/>
  <c r="O10" i="29"/>
  <c r="O53" i="29" s="1"/>
  <c r="O54" i="29" s="1"/>
  <c r="N10" i="29"/>
  <c r="M10" i="29"/>
  <c r="L10" i="29"/>
  <c r="B10" i="29"/>
  <c r="T9" i="29"/>
  <c r="T85" i="29" s="1"/>
  <c r="S8" i="29"/>
  <c r="R8" i="29"/>
  <c r="R84" i="29" s="1"/>
  <c r="Q8" i="29"/>
  <c r="Q84" i="29" s="1"/>
  <c r="P8" i="29"/>
  <c r="P84" i="29" s="1"/>
  <c r="O8" i="29"/>
  <c r="N8" i="29"/>
  <c r="M8" i="29"/>
  <c r="M84" i="29" s="1"/>
  <c r="L8" i="29"/>
  <c r="L84" i="29" s="1"/>
  <c r="K8" i="29"/>
  <c r="K84" i="29" s="1"/>
  <c r="J8" i="29"/>
  <c r="J84" i="29" s="1"/>
  <c r="I8" i="29"/>
  <c r="I84" i="29" s="1"/>
  <c r="H8" i="29"/>
  <c r="H84" i="29" s="1"/>
  <c r="G8" i="29"/>
  <c r="G84" i="29" s="1"/>
  <c r="S7" i="29"/>
  <c r="S83" i="29" s="1"/>
  <c r="B7" i="29"/>
  <c r="R5" i="29"/>
  <c r="Q5" i="29"/>
  <c r="P5" i="29"/>
  <c r="O5" i="29"/>
  <c r="N5" i="29"/>
  <c r="M5" i="29"/>
  <c r="L5" i="29"/>
  <c r="K5" i="29"/>
  <c r="J5" i="29"/>
  <c r="I5" i="29"/>
  <c r="H5" i="29"/>
  <c r="G5" i="29"/>
  <c r="E4" i="29"/>
  <c r="E3" i="29"/>
  <c r="E2" i="29"/>
  <c r="O60" i="29" l="1"/>
  <c r="O66" i="29" s="1"/>
  <c r="O61" i="29" s="1"/>
  <c r="K54" i="29"/>
  <c r="K60" i="29"/>
  <c r="K66" i="29" s="1"/>
  <c r="K61" i="29" s="1"/>
  <c r="I60" i="29"/>
  <c r="I66" i="29" s="1"/>
  <c r="I61" i="29" s="1"/>
  <c r="I54" i="29"/>
  <c r="H130" i="29"/>
  <c r="H136" i="29"/>
  <c r="H142" i="29" s="1"/>
  <c r="H137" i="29" s="1"/>
  <c r="I130" i="29"/>
  <c r="I136" i="29"/>
  <c r="I142" i="29" s="1"/>
  <c r="I137" i="29" s="1"/>
  <c r="G10" i="29"/>
  <c r="S11" i="29"/>
  <c r="T11" i="29" s="1"/>
  <c r="Q53" i="29"/>
  <c r="S19" i="29"/>
  <c r="T19" i="29" s="1"/>
  <c r="S40" i="29"/>
  <c r="T40" i="29" s="1"/>
  <c r="P136" i="29"/>
  <c r="P142" i="29" s="1"/>
  <c r="P137" i="29" s="1"/>
  <c r="P130" i="29"/>
  <c r="H53" i="29"/>
  <c r="R53" i="29"/>
  <c r="G129" i="29"/>
  <c r="S105" i="29"/>
  <c r="T105" i="29" s="1"/>
  <c r="Q130" i="29"/>
  <c r="Q136" i="29"/>
  <c r="Q142" i="29" s="1"/>
  <c r="Q137" i="29" s="1"/>
  <c r="J60" i="29"/>
  <c r="J66" i="29" s="1"/>
  <c r="J61" i="29" s="1"/>
  <c r="J54" i="29"/>
  <c r="R130" i="29"/>
  <c r="R136" i="29"/>
  <c r="R142" i="29" s="1"/>
  <c r="R137" i="29" s="1"/>
  <c r="L53" i="29"/>
  <c r="M53" i="29"/>
  <c r="N53" i="29"/>
  <c r="K136" i="29"/>
  <c r="K142" i="29" s="1"/>
  <c r="K137" i="29" s="1"/>
  <c r="K130" i="29"/>
  <c r="M136" i="29"/>
  <c r="M142" i="29" s="1"/>
  <c r="M137" i="29" s="1"/>
  <c r="M130" i="29"/>
  <c r="P53" i="29"/>
  <c r="S55" i="29"/>
  <c r="T55" i="29" s="1"/>
  <c r="L136" i="29"/>
  <c r="L142" i="29" s="1"/>
  <c r="L137" i="29" s="1"/>
  <c r="L130" i="29"/>
  <c r="O136" i="29"/>
  <c r="O142" i="29" s="1"/>
  <c r="O137" i="29" s="1"/>
  <c r="O130" i="29"/>
  <c r="N136" i="29"/>
  <c r="N142" i="29" s="1"/>
  <c r="N137" i="29" s="1"/>
  <c r="N130" i="29"/>
  <c r="S29" i="29"/>
  <c r="T29" i="29" s="1"/>
  <c r="J136" i="29"/>
  <c r="J142" i="29" s="1"/>
  <c r="J137" i="29" s="1"/>
  <c r="S106" i="29"/>
  <c r="T106" i="29" s="1"/>
  <c r="N54" i="29" l="1"/>
  <c r="N60" i="29"/>
  <c r="N66" i="29" s="1"/>
  <c r="N61" i="29" s="1"/>
  <c r="G130" i="29"/>
  <c r="S130" i="29" s="1"/>
  <c r="T130" i="29" s="1"/>
  <c r="S129" i="29"/>
  <c r="T129" i="29" s="1"/>
  <c r="G136" i="29"/>
  <c r="H60" i="29"/>
  <c r="H66" i="29" s="1"/>
  <c r="H61" i="29" s="1"/>
  <c r="H54" i="29"/>
  <c r="G53" i="29"/>
  <c r="S10" i="29"/>
  <c r="T10" i="29" s="1"/>
  <c r="M60" i="29"/>
  <c r="M66" i="29" s="1"/>
  <c r="M61" i="29" s="1"/>
  <c r="M54" i="29"/>
  <c r="L54" i="29"/>
  <c r="L60" i="29"/>
  <c r="L66" i="29" s="1"/>
  <c r="L61" i="29" s="1"/>
  <c r="P60" i="29"/>
  <c r="P66" i="29" s="1"/>
  <c r="P61" i="29" s="1"/>
  <c r="P54" i="29"/>
  <c r="R60" i="29"/>
  <c r="R66" i="29" s="1"/>
  <c r="R61" i="29" s="1"/>
  <c r="R54" i="29"/>
  <c r="Q60" i="29"/>
  <c r="Q66" i="29" s="1"/>
  <c r="Q61" i="29" s="1"/>
  <c r="Q54" i="29"/>
  <c r="G55" i="28"/>
  <c r="H55" i="28"/>
  <c r="I55" i="28"/>
  <c r="J55" i="28"/>
  <c r="K55" i="28"/>
  <c r="L55" i="28"/>
  <c r="M55" i="28"/>
  <c r="N55" i="28"/>
  <c r="O55" i="28"/>
  <c r="P55" i="28"/>
  <c r="G60" i="29" l="1"/>
  <c r="G54" i="29"/>
  <c r="S53" i="29"/>
  <c r="G142" i="29"/>
  <c r="S136" i="29"/>
  <c r="T136" i="29" s="1"/>
  <c r="T83" i="28"/>
  <c r="S54" i="29" l="1"/>
  <c r="T54" i="29" s="1"/>
  <c r="G66" i="29"/>
  <c r="S142" i="29"/>
  <c r="T142" i="29" s="1"/>
  <c r="G137" i="29"/>
  <c r="S137" i="29" s="1"/>
  <c r="T137" i="29" s="1"/>
  <c r="S60" i="29"/>
  <c r="T53" i="29"/>
  <c r="P17" i="11"/>
  <c r="P18" i="11"/>
  <c r="Q62" i="11"/>
  <c r="T65" i="11"/>
  <c r="G61" i="29" l="1"/>
  <c r="S66" i="29"/>
  <c r="T66" i="29" s="1"/>
  <c r="T60" i="29"/>
  <c r="S61" i="29" l="1"/>
  <c r="T61" i="29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R10" i="28"/>
  <c r="O29" i="28"/>
  <c r="R29" i="28"/>
  <c r="N29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R53" i="28" l="1"/>
  <c r="R54" i="28" s="1"/>
  <c r="S10" i="28"/>
  <c r="G10" i="11" s="1"/>
  <c r="N53" i="28"/>
  <c r="N54" i="28" s="1"/>
  <c r="O53" i="28"/>
  <c r="O54" i="28" s="1"/>
  <c r="D12" i="1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Q53" i="28"/>
  <c r="G53" i="28"/>
  <c r="T55" i="28"/>
  <c r="G55" i="11"/>
  <c r="T40" i="28"/>
  <c r="G40" i="11"/>
  <c r="T30" i="28"/>
  <c r="G30" i="11"/>
  <c r="T11" i="28"/>
  <c r="G11" i="11"/>
  <c r="S29" i="28"/>
  <c r="G54" i="28" l="1"/>
  <c r="D20" i="1"/>
  <c r="R60" i="28"/>
  <c r="R66" i="28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I66" i="28" s="1"/>
  <c r="N66" i="11" s="1"/>
  <c r="H60" i="28"/>
  <c r="H66" i="28" s="1"/>
  <c r="T10" i="28"/>
  <c r="S53" i="28"/>
  <c r="S60" i="28" s="1"/>
  <c r="G60" i="28"/>
  <c r="T29" i="28"/>
  <c r="G29" i="11"/>
  <c r="S129" i="28"/>
  <c r="G19" i="26"/>
  <c r="H19" i="26"/>
  <c r="G66" i="28" l="1"/>
  <c r="R61" i="28"/>
  <c r="Q66" i="28"/>
  <c r="P66" i="28"/>
  <c r="O66" i="28"/>
  <c r="S54" i="28"/>
  <c r="G54" i="11" s="1"/>
  <c r="N61" i="28"/>
  <c r="M61" i="28"/>
  <c r="L66" i="28"/>
  <c r="K66" i="28"/>
  <c r="J61" i="28"/>
  <c r="I61" i="28"/>
  <c r="N61" i="11" s="1"/>
  <c r="T129" i="28"/>
  <c r="H61" i="28"/>
  <c r="T53" i="28"/>
  <c r="G53" i="11"/>
  <c r="G60" i="11"/>
  <c r="S130" i="28"/>
  <c r="S136" i="28"/>
  <c r="S66" i="28"/>
  <c r="T60" i="28"/>
  <c r="G55" i="26"/>
  <c r="G61" i="28" l="1"/>
  <c r="Q61" i="28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<sst xmlns="http://schemas.openxmlformats.org/spreadsheetml/2006/main" count="1955" uniqueCount="893">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</sst>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Master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januar-mart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635.4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7.4%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su veći u odnosu na plan. U odnosu na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isti period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2025. godine, prihodi su veći 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54.9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759.4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8.9%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70.4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2025.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113.7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17.6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periodu januar-mart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124.0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1.45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2026-03</v>
      </c>
      <c r="O6" s="128" t="str">
        <f>+CONCATENATE(N6,"p")</f>
        <v>2026-03p</v>
      </c>
      <c r="P6" s="116"/>
      <c r="Q6" s="116"/>
      <c r="R6" s="128" t="str">
        <f>+IF(Master!B3-10&gt;=0,CONCATENATE(Master!B4-1,"-",Master!B3),CONCATENATE(Master!B4-1,"-0",Master!B3))</f>
        <v>2025-03</v>
      </c>
      <c r="S6" s="116"/>
      <c r="T6" s="116"/>
    </row>
    <row r="7" spans="1:20">
      <c r="A7" s="129"/>
      <c r="B7" s="570" t="s">
        <v>691</v>
      </c>
      <c r="C7" s="571"/>
      <c r="D7" s="571"/>
      <c r="E7" s="571"/>
      <c r="F7" s="571"/>
      <c r="G7" s="579" t="s">
        <v>690</v>
      </c>
      <c r="H7" s="580"/>
      <c r="I7" s="580"/>
      <c r="J7" s="580"/>
      <c r="K7" s="580"/>
      <c r="L7" s="580"/>
      <c r="M7" s="581"/>
      <c r="N7" s="582" t="str">
        <f>+Master!G243</f>
        <v>Decembar</v>
      </c>
      <c r="O7" s="580"/>
      <c r="P7" s="580"/>
      <c r="Q7" s="580"/>
      <c r="R7" s="580"/>
      <c r="S7" s="580"/>
      <c r="T7" s="583"/>
    </row>
    <row r="8" spans="1:20">
      <c r="A8" s="129"/>
      <c r="B8" s="572"/>
      <c r="C8" s="573"/>
      <c r="D8" s="573"/>
      <c r="E8" s="573"/>
      <c r="F8" s="574"/>
      <c r="G8" s="130" t="str">
        <f>+Master!G26</f>
        <v>Ostvarenje</v>
      </c>
      <c r="H8" s="130" t="str">
        <f>+Master!G25</f>
        <v>Plan</v>
      </c>
      <c r="I8" s="566" t="str">
        <f>+Master!G261</f>
        <v>Odstupanje</v>
      </c>
      <c r="J8" s="566"/>
      <c r="K8" s="130" t="str">
        <f>+CONCATENATE(Master!G246," ",Master!B4-1)</f>
        <v>Jan - Mar 2025</v>
      </c>
      <c r="L8" s="566" t="str">
        <f>+I8</f>
        <v>Odstupanje</v>
      </c>
      <c r="M8" s="578"/>
      <c r="N8" s="131" t="str">
        <f>+G8</f>
        <v>Ostvarenje</v>
      </c>
      <c r="O8" s="130" t="str">
        <f>+H8</f>
        <v>Plan</v>
      </c>
      <c r="P8" s="566" t="str">
        <f>+I8</f>
        <v>Odstupanje</v>
      </c>
      <c r="Q8" s="566"/>
      <c r="R8" s="130" t="str">
        <f>+CONCATENATE(Master!G245," ",Master!B4-1)</f>
        <v>Mart 2025</v>
      </c>
      <c r="S8" s="566" t="str">
        <f>+P8</f>
        <v>Odstupanje</v>
      </c>
      <c r="T8" s="567"/>
    </row>
    <row r="9" spans="1:20" ht="15.7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600" t="e">
        <f>+VLOOKUP($A18,Master!$D$30:$G$226,4,FALSE)</f>
        <v>#N/A</v>
      </c>
      <c r="C18" s="601"/>
      <c r="D18" s="601"/>
      <c r="E18" s="601"/>
      <c r="F18" s="60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600" t="str">
        <f>+VLOOKUP($A19,Master!$D$30:$G$226,4,FALSE)</f>
        <v>Ostali državni porezi</v>
      </c>
      <c r="C19" s="601"/>
      <c r="D19" s="601"/>
      <c r="E19" s="601"/>
      <c r="F19" s="60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10" t="str">
        <f>+VLOOKUP($A20,Master!$D$30:$G$226,4,FALSE)</f>
        <v>Doprinosi</v>
      </c>
      <c r="C20" s="611"/>
      <c r="D20" s="611"/>
      <c r="E20" s="611"/>
      <c r="F20" s="611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600" t="str">
        <f>+VLOOKUP($A21,Master!$D$30:$G$226,4,FALSE)</f>
        <v>Doprinosi za penzijsko i invalidsko osiguranje</v>
      </c>
      <c r="C21" s="601"/>
      <c r="D21" s="601"/>
      <c r="E21" s="601"/>
      <c r="F21" s="60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600" t="str">
        <f>+VLOOKUP($A22,Master!$D$30:$G$226,4,FALSE)</f>
        <v>Doprinosi za zdravstveno osiguranje</v>
      </c>
      <c r="C22" s="601"/>
      <c r="D22" s="601"/>
      <c r="E22" s="601"/>
      <c r="F22" s="60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600" t="str">
        <f>+VLOOKUP($A23,Master!$D$30:$G$226,4,FALSE)</f>
        <v>Doprinosi za osiguranje od nezaposlenosti</v>
      </c>
      <c r="C23" s="601"/>
      <c r="D23" s="601"/>
      <c r="E23" s="601"/>
      <c r="F23" s="60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600" t="str">
        <f>+VLOOKUP($A24,Master!$D$30:$G$226,4,FALSE)</f>
        <v>Ostali doprinosi</v>
      </c>
      <c r="C24" s="601"/>
      <c r="D24" s="601"/>
      <c r="E24" s="601"/>
      <c r="F24" s="60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602" t="str">
        <f>+VLOOKUP($A25,Master!$D$30:$G$226,4,FALSE)</f>
        <v>Takse</v>
      </c>
      <c r="C25" s="603"/>
      <c r="D25" s="603"/>
      <c r="E25" s="603"/>
      <c r="F25" s="60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602" t="str">
        <f>+VLOOKUP($A26,Master!$D$30:$G$226,4,FALSE)</f>
        <v>Naknade</v>
      </c>
      <c r="C26" s="603"/>
      <c r="D26" s="603"/>
      <c r="E26" s="603"/>
      <c r="F26" s="60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602" t="str">
        <f>+VLOOKUP($A27,Master!$D$30:$G$226,4,FALSE)</f>
        <v>Ostali prihodi</v>
      </c>
      <c r="C27" s="603"/>
      <c r="D27" s="603"/>
      <c r="E27" s="603"/>
      <c r="F27" s="60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602" t="str">
        <f>+VLOOKUP($A28,Master!$D$30:$G$226,4,FALSE)</f>
        <v>Primici od otplate kredita i sredstva prenesena iz prethodne godine</v>
      </c>
      <c r="C28" s="603"/>
      <c r="D28" s="603"/>
      <c r="E28" s="603"/>
      <c r="F28" s="60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4" t="str">
        <f>+VLOOKUP($A29,Master!$D$30:$G$226,4,FALSE)</f>
        <v>Donacije i transferi</v>
      </c>
      <c r="C29" s="605"/>
      <c r="D29" s="605"/>
      <c r="E29" s="605"/>
      <c r="F29" s="60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90" t="str">
        <f>+VLOOKUP($A30,Master!$D$30:$G$226,4,FALSE)</f>
        <v>Izdaci budžeta</v>
      </c>
      <c r="C30" s="591"/>
      <c r="D30" s="591"/>
      <c r="E30" s="591"/>
      <c r="F30" s="591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6" t="str">
        <f>+VLOOKUP($A31,Master!$D$30:$G$226,4,FALSE)</f>
        <v>Tekući izdaci</v>
      </c>
      <c r="C31" s="607"/>
      <c r="D31" s="607"/>
      <c r="E31" s="607"/>
      <c r="F31" s="607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8" t="str">
        <f>+VLOOKUP($A32,Master!$D$30:$G$226,4,FALSE)</f>
        <v>Tekuća budžetska potrošnja</v>
      </c>
      <c r="C32" s="609"/>
      <c r="D32" s="609"/>
      <c r="E32" s="609"/>
      <c r="F32" s="609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600" t="str">
        <f>+VLOOKUP($A33,Master!$D$30:$G$226,4,FALSE)</f>
        <v>Bruto zarade i doprinosi na teret poslodavca</v>
      </c>
      <c r="C33" s="601"/>
      <c r="D33" s="601"/>
      <c r="E33" s="601"/>
      <c r="F33" s="60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600" t="str">
        <f>+VLOOKUP($A34,Master!$D$30:$G$226,4,FALSE)</f>
        <v>Ostala lična primanja</v>
      </c>
      <c r="C34" s="601"/>
      <c r="D34" s="601"/>
      <c r="E34" s="601"/>
      <c r="F34" s="60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600" t="str">
        <f>+VLOOKUP($A35,Master!$D$30:$G$226,4,FALSE)</f>
        <v>Rashodi za materijal</v>
      </c>
      <c r="C35" s="601"/>
      <c r="D35" s="601"/>
      <c r="E35" s="601"/>
      <c r="F35" s="60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600" t="str">
        <f>+VLOOKUP($A36,Master!$D$30:$G$226,4,FALSE)</f>
        <v>Rashodi za usluge</v>
      </c>
      <c r="C36" s="601"/>
      <c r="D36" s="601"/>
      <c r="E36" s="601"/>
      <c r="F36" s="60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600" t="str">
        <f>+VLOOKUP($A37,Master!$D$30:$G$226,4,FALSE)</f>
        <v>Rashodi za tekuće održavanje</v>
      </c>
      <c r="C37" s="601"/>
      <c r="D37" s="601"/>
      <c r="E37" s="601"/>
      <c r="F37" s="60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600" t="str">
        <f>+VLOOKUP($A38,Master!$D$30:$G$226,4,FALSE)</f>
        <v>Kamate</v>
      </c>
      <c r="C38" s="601"/>
      <c r="D38" s="601"/>
      <c r="E38" s="601"/>
      <c r="F38" s="60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600" t="str">
        <f>+VLOOKUP($A39,Master!$D$30:$G$226,4,FALSE)</f>
        <v>Renta</v>
      </c>
      <c r="C39" s="601"/>
      <c r="D39" s="601"/>
      <c r="E39" s="601"/>
      <c r="F39" s="60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600" t="str">
        <f>+VLOOKUP($A40,Master!$D$30:$G$226,4,FALSE)</f>
        <v>Subvencije</v>
      </c>
      <c r="C40" s="601"/>
      <c r="D40" s="601"/>
      <c r="E40" s="601"/>
      <c r="F40" s="60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600" t="str">
        <f>+VLOOKUP($A41,Master!$D$30:$G$226,4,FALSE)</f>
        <v>Ostali izdaci</v>
      </c>
      <c r="C41" s="601"/>
      <c r="D41" s="601"/>
      <c r="E41" s="601"/>
      <c r="F41" s="60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600" t="e">
        <f>+VLOOKUP($A42,Master!$D$30:$G$226,4,FALSE)</f>
        <v>#N/A</v>
      </c>
      <c r="C42" s="601"/>
      <c r="D42" s="601"/>
      <c r="E42" s="601"/>
      <c r="F42" s="60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6" t="str">
        <f>+VLOOKUP($A43,Master!$D$30:$G$226,4,FALSE)</f>
        <v>Transferi za socijalnu zaštitu</v>
      </c>
      <c r="C43" s="597"/>
      <c r="D43" s="597"/>
      <c r="E43" s="597"/>
      <c r="F43" s="59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600" t="str">
        <f>+VLOOKUP($A44,Master!$D$30:$G$226,4,FALSE)</f>
        <v>Prava iz oblasti socijalne zaštite</v>
      </c>
      <c r="C44" s="601"/>
      <c r="D44" s="601"/>
      <c r="E44" s="601"/>
      <c r="F44" s="60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600" t="str">
        <f>+VLOOKUP($A45,Master!$D$30:$G$226,4,FALSE)</f>
        <v>Sredstva za tehnološke viškove</v>
      </c>
      <c r="C45" s="601"/>
      <c r="D45" s="601"/>
      <c r="E45" s="601"/>
      <c r="F45" s="60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600" t="str">
        <f>+VLOOKUP($A46,Master!$D$30:$G$226,4,FALSE)</f>
        <v>Prava iz oblasti penzijskog i invalidskog osiguranja</v>
      </c>
      <c r="C46" s="601"/>
      <c r="D46" s="601"/>
      <c r="E46" s="601"/>
      <c r="F46" s="60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600" t="str">
        <f>+VLOOKUP($A47,Master!$D$30:$G$226,4,FALSE)</f>
        <v>Ostala prava iz oblasti zdravstvene zaštite</v>
      </c>
      <c r="C47" s="601"/>
      <c r="D47" s="601"/>
      <c r="E47" s="601"/>
      <c r="F47" s="60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600" t="str">
        <f>+VLOOKUP($A48,Master!$D$30:$G$226,4,FALSE)</f>
        <v>Ostala prava iz zdravstvenog osiguranja</v>
      </c>
      <c r="C48" s="601"/>
      <c r="D48" s="601"/>
      <c r="E48" s="601"/>
      <c r="F48" s="60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8" t="str">
        <f>+VLOOKUP($A49,Master!$D$30:$G$226,4,FALSE)</f>
        <v xml:space="preserve">Transferi institucijama, pojedincima, nevladinom i javnom sektoru </v>
      </c>
      <c r="C49" s="599"/>
      <c r="D49" s="599"/>
      <c r="E49" s="599"/>
      <c r="F49" s="59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8" t="str">
        <f>+VLOOKUP($A50,Master!$D$30:$G$226,4,FALSE)</f>
        <v>Kapitalni izdaci</v>
      </c>
      <c r="C50" s="599"/>
      <c r="D50" s="599"/>
      <c r="E50" s="599"/>
      <c r="F50" s="59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8" t="str">
        <f>+VLOOKUP($A51,Master!$D$30:$G$226,4,FALSE)</f>
        <v>Pozajmice i krediti</v>
      </c>
      <c r="C51" s="569"/>
      <c r="D51" s="569"/>
      <c r="E51" s="569"/>
      <c r="F51" s="56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8" t="str">
        <f>+VLOOKUP($A52,Master!$D$30:$G$226,4,FALSE)</f>
        <v>Rezerve</v>
      </c>
      <c r="C52" s="569"/>
      <c r="D52" s="569"/>
      <c r="E52" s="569"/>
      <c r="F52" s="56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6" t="str">
        <f>+VLOOKUP($A53,Master!$D$30:$G$226,4,FALSE)</f>
        <v>Otplata garancija</v>
      </c>
      <c r="C53" s="587"/>
      <c r="D53" s="587"/>
      <c r="E53" s="587"/>
      <c r="F53" s="587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6" t="str">
        <f>+VLOOKUP($A54,Master!$D$30:$G$226,4,FALSE)</f>
        <v>Otplata obaveza iz prethodnog perioda</v>
      </c>
      <c r="C54" s="587"/>
      <c r="D54" s="587"/>
      <c r="E54" s="587"/>
      <c r="F54" s="587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6" t="str">
        <f>+VLOOKUP($A55,Master!$D$30:$G$228,4,FALSE)</f>
        <v>Neto povećanje obaveza</v>
      </c>
      <c r="C55" s="587"/>
      <c r="D55" s="587"/>
      <c r="E55" s="587"/>
      <c r="F55" s="587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92" t="str">
        <f>+VLOOKUP($A56,Master!$D$30:$G$226,4,FALSE)</f>
        <v>Suficit / deficit</v>
      </c>
      <c r="C56" s="593"/>
      <c r="D56" s="593"/>
      <c r="E56" s="593"/>
      <c r="F56" s="59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4" t="str">
        <f>+VLOOKUP($A57,Master!$D$30:$G$226,4,FALSE)</f>
        <v>Primarni suficit/deficit</v>
      </c>
      <c r="C57" s="595"/>
      <c r="D57" s="595"/>
      <c r="E57" s="595"/>
      <c r="F57" s="59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6" t="str">
        <f>+VLOOKUP($A58,Master!$D$30:$G$226,4,FALSE)</f>
        <v>Otplata dugova</v>
      </c>
      <c r="C58" s="597"/>
      <c r="D58" s="597"/>
      <c r="E58" s="597"/>
      <c r="F58" s="59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4" t="str">
        <f>+VLOOKUP($A59,Master!$D$30:$G$226,4,FALSE)</f>
        <v>Otplata hartija od vrijednosti i kredita rezidentima</v>
      </c>
      <c r="C59" s="585"/>
      <c r="D59" s="585"/>
      <c r="E59" s="585"/>
      <c r="F59" s="585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8" t="str">
        <f>+VLOOKUP($A60,Master!$D$30:$G$226,4,FALSE)</f>
        <v>Otplata hartija od vrijednosti i kredita nerezidentima</v>
      </c>
      <c r="C60" s="569"/>
      <c r="D60" s="569"/>
      <c r="E60" s="569"/>
      <c r="F60" s="56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8" t="str">
        <f>+VLOOKUP($A62,Master!$D$30:$G$226,4,FALSE)</f>
        <v>Nedostajuća sredstva</v>
      </c>
      <c r="C62" s="589"/>
      <c r="D62" s="589"/>
      <c r="E62" s="589"/>
      <c r="F62" s="58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90" t="str">
        <f>+VLOOKUP($A63,Master!$D$30:$G$226,4,FALSE)</f>
        <v>Finansiranje</v>
      </c>
      <c r="C63" s="591"/>
      <c r="D63" s="591"/>
      <c r="E63" s="591"/>
      <c r="F63" s="591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4" t="str">
        <f>+VLOOKUP($A64,Master!$D$30:$G$226,4,FALSE)</f>
        <v>Pozajmice i krediti od domaćih izvora</v>
      </c>
      <c r="C64" s="585"/>
      <c r="D64" s="585"/>
      <c r="E64" s="585"/>
      <c r="F64" s="585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8" t="str">
        <f>+VLOOKUP($A65,Master!$D$30:$G$226,4,FALSE)</f>
        <v>Pozajmice i krediti od inostranih izvora</v>
      </c>
      <c r="C65" s="569"/>
      <c r="D65" s="569"/>
      <c r="E65" s="569"/>
      <c r="F65" s="56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8" t="str">
        <f>+VLOOKUP($A66,Master!$D$30:$G$226,4,FALSE)</f>
        <v>Primici od prodaje imovine</v>
      </c>
      <c r="C66" s="569"/>
      <c r="D66" s="569"/>
      <c r="E66" s="569"/>
      <c r="F66" s="56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2020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4185600000</v>
      </c>
    </row>
    <row r="8" spans="1:20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10" t="str">
        <f>+VLOOKUP($A19,Master!$D$30:$G$226,4,FALSE)</f>
        <v>Doprinosi</v>
      </c>
      <c r="C19" s="611"/>
      <c r="D19" s="611"/>
      <c r="E19" s="611"/>
      <c r="F19" s="611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8" t="str">
        <f>+VLOOKUP($A59,Master!$D$30:$G$226,4,FALSE)</f>
        <v>Nedostajuća sredstva</v>
      </c>
      <c r="C59" s="589"/>
      <c r="D59" s="589"/>
      <c r="E59" s="589"/>
      <c r="F59" s="58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90" t="str">
        <f>+VLOOKUP($A60,Master!$D$30:$G$226,4,FALSE)</f>
        <v>Finansiranje</v>
      </c>
      <c r="C60" s="591"/>
      <c r="D60" s="591"/>
      <c r="E60" s="591"/>
      <c r="F60" s="591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4" t="str">
        <f>+VLOOKUP($A61,Master!$D$30:$G$226,4,FALSE)</f>
        <v>Pozajmice i krediti od domaćih izvora</v>
      </c>
      <c r="C61" s="585"/>
      <c r="D61" s="585"/>
      <c r="E61" s="585"/>
      <c r="F61" s="585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8" t="str">
        <f>+VLOOKUP($A62,Master!$D$30:$G$226,4,FALSE)</f>
        <v>Pozajmice i krediti od inostranih izvora</v>
      </c>
      <c r="C62" s="569"/>
      <c r="D62" s="569"/>
      <c r="E62" s="569"/>
      <c r="F62" s="56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8" t="str">
        <f>+VLOOKUP($A63,Master!$D$30:$G$226,4,FALSE)</f>
        <v>Primici od prodaje imovine</v>
      </c>
      <c r="C63" s="569"/>
      <c r="D63" s="569"/>
      <c r="E63" s="569"/>
      <c r="F63" s="56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9" t="str">
        <f>+Master!G253</f>
        <v>Plan ostvarenja budžeta</v>
      </c>
      <c r="C100" s="640"/>
      <c r="D100" s="640"/>
      <c r="E100" s="640"/>
      <c r="F100" s="640"/>
      <c r="G100" s="622">
        <v>2020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v>4607300000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2" t="str">
        <f>+Master!G247</f>
        <v>Jan - Dec</v>
      </c>
      <c r="T101" s="624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9" t="str">
        <f>+VLOOKUP(LEFT($A103,LEN(A103)-1)*1,Master!$D$30:$G$226,4,FALSE)</f>
        <v>Prihodi budžeta</v>
      </c>
      <c r="C103" s="670"/>
      <c r="D103" s="670"/>
      <c r="E103" s="670"/>
      <c r="F103" s="670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5" t="str">
        <f>+VLOOKUP(LEFT($A104,LEN(A104)-1)*1,Master!$D$30:$G$226,4,FALSE)</f>
        <v>Porezi</v>
      </c>
      <c r="C104" s="636"/>
      <c r="D104" s="636"/>
      <c r="E104" s="636"/>
      <c r="F104" s="63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7" t="str">
        <f>+VLOOKUP(LEFT($A105,LEN(A105)-1)*1,Master!$D$30:$G$229,4,FALSE)</f>
        <v>Porez na dohodak fizičkih lica</v>
      </c>
      <c r="C105" s="638"/>
      <c r="D105" s="638"/>
      <c r="E105" s="638"/>
      <c r="F105" s="63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7" t="str">
        <f>+VLOOKUP(LEFT($A106,LEN(A106)-1)*1,Master!$D$30:$G$229,4,FALSE)</f>
        <v>Porez na dobit pravnih lica</v>
      </c>
      <c r="C106" s="638"/>
      <c r="D106" s="638"/>
      <c r="E106" s="638"/>
      <c r="F106" s="63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7" t="str">
        <f>+VLOOKUP(LEFT($A107,LEN(A107)-1)*1,Master!$D$30:$G$229,4,FALSE)</f>
        <v>Porez na promet nepokretnosti</v>
      </c>
      <c r="C107" s="638"/>
      <c r="D107" s="638"/>
      <c r="E107" s="638"/>
      <c r="F107" s="63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7" t="str">
        <f>+VLOOKUP(LEFT($A108,LEN(A108)-1)*1,Master!$D$30:$G$229,4,FALSE)</f>
        <v>Porez na dodatu vrijednost</v>
      </c>
      <c r="C108" s="638"/>
      <c r="D108" s="638"/>
      <c r="E108" s="638"/>
      <c r="F108" s="63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7" t="str">
        <f>+VLOOKUP(LEFT($A109,LEN(A109)-1)*1,Master!$D$30:$G$229,4,FALSE)</f>
        <v>Akcize</v>
      </c>
      <c r="C109" s="638"/>
      <c r="D109" s="638"/>
      <c r="E109" s="638"/>
      <c r="F109" s="63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7" t="str">
        <f>+VLOOKUP(LEFT($A110,LEN(A110)-1)*1,Master!$D$30:$G$229,4,FALSE)</f>
        <v>Porez na međunarodnu trgovinu i transakcije</v>
      </c>
      <c r="C110" s="638"/>
      <c r="D110" s="638"/>
      <c r="E110" s="638"/>
      <c r="F110" s="63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7" t="str">
        <f>+VLOOKUP(LEFT($A111,LEN(A111)-1)*1,Master!$D$30:$G$229,4,FALSE)</f>
        <v>Ostali državni porezi</v>
      </c>
      <c r="C111" s="638"/>
      <c r="D111" s="638"/>
      <c r="E111" s="638"/>
      <c r="F111" s="63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7" t="str">
        <f>+VLOOKUP(LEFT($A112,LEN(A112)-1)*1,Master!$D$30:$G$229,4,FALSE)</f>
        <v>Doprinosi</v>
      </c>
      <c r="C112" s="668"/>
      <c r="D112" s="668"/>
      <c r="E112" s="668"/>
      <c r="F112" s="66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7" t="str">
        <f>+VLOOKUP(LEFT($A113,LEN(A113)-1)*1,Master!$D$30:$G$229,4,FALSE)</f>
        <v>Doprinosi za penzijsko i invalidsko osiguranje</v>
      </c>
      <c r="C113" s="638"/>
      <c r="D113" s="638"/>
      <c r="E113" s="638"/>
      <c r="F113" s="63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7" t="str">
        <f>+VLOOKUP(LEFT($A114,LEN(A114)-1)*1,Master!$D$30:$G$229,4,FALSE)</f>
        <v>Doprinosi za zdravstveno osiguranje</v>
      </c>
      <c r="C114" s="638"/>
      <c r="D114" s="638"/>
      <c r="E114" s="638"/>
      <c r="F114" s="63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7" t="str">
        <f>+VLOOKUP(LEFT($A115,LEN(A115)-1)*1,Master!$D$30:$G$229,4,FALSE)</f>
        <v>Doprinosi za osiguranje od nezaposlenosti</v>
      </c>
      <c r="C115" s="638"/>
      <c r="D115" s="638"/>
      <c r="E115" s="638"/>
      <c r="F115" s="63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7" t="str">
        <f>+VLOOKUP(LEFT($A116,LEN(A116)-1)*1,Master!$D$30:$G$229,4,FALSE)</f>
        <v>Ostali doprinosi</v>
      </c>
      <c r="C116" s="638"/>
      <c r="D116" s="638"/>
      <c r="E116" s="638"/>
      <c r="F116" s="63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7" t="str">
        <f>+VLOOKUP(LEFT($A117,LEN(A117)-1)*1,Master!$D$30:$G$229,4,FALSE)</f>
        <v>Takse</v>
      </c>
      <c r="C117" s="648"/>
      <c r="D117" s="648"/>
      <c r="E117" s="648"/>
      <c r="F117" s="648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7" t="str">
        <f>+VLOOKUP(LEFT($A118,LEN(A118)-1)*1,Master!$D$30:$G$229,4,FALSE)</f>
        <v>Naknade</v>
      </c>
      <c r="C118" s="648"/>
      <c r="D118" s="648"/>
      <c r="E118" s="648"/>
      <c r="F118" s="648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7" t="str">
        <f>+VLOOKUP(LEFT($A119,LEN(A119)-1)*1,Master!$D$30:$G$229,4,FALSE)</f>
        <v>Ostali prihodi</v>
      </c>
      <c r="C119" s="648"/>
      <c r="D119" s="648"/>
      <c r="E119" s="648"/>
      <c r="F119" s="648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7" t="str">
        <f>+VLOOKUP(LEFT($A120,LEN(A120)-1)*1,Master!$D$30:$G$229,4,FALSE)</f>
        <v>Primici od otplate kredita i sredstva prenesena iz prethodne godine</v>
      </c>
      <c r="C120" s="648"/>
      <c r="D120" s="648"/>
      <c r="E120" s="648"/>
      <c r="F120" s="648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9" t="str">
        <f>+VLOOKUP(LEFT($A121,LEN(A121)-1)*1,Master!$D$30:$G$229,4,FALSE)</f>
        <v>Donacije i transferi</v>
      </c>
      <c r="C121" s="650"/>
      <c r="D121" s="650"/>
      <c r="E121" s="650"/>
      <c r="F121" s="65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33" t="str">
        <f>+VLOOKUP(LEFT($A122,LEN(A122)-1)*1,Master!$D$30:$G$229,4,FALSE)</f>
        <v>Izdaci budžeta</v>
      </c>
      <c r="C122" s="634"/>
      <c r="D122" s="634"/>
      <c r="E122" s="634"/>
      <c r="F122" s="63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51" t="str">
        <f>+VLOOKUP(LEFT($A123,LEN(A123)-1)*1,Master!$D$30:$G$229,4,FALSE)</f>
        <v>Tekući izdaci</v>
      </c>
      <c r="C123" s="652"/>
      <c r="D123" s="652"/>
      <c r="E123" s="652"/>
      <c r="F123" s="65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7" t="str">
        <f>+VLOOKUP(LEFT($A124,LEN(A124)-1)*1,Master!$D$30:$G$229,4,FALSE)</f>
        <v>Bruto zarade i doprinosi na teret poslodavca</v>
      </c>
      <c r="C124" s="638"/>
      <c r="D124" s="638"/>
      <c r="E124" s="638"/>
      <c r="F124" s="63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7" t="str">
        <f>+VLOOKUP(LEFT($A125,LEN(A125)-1)*1,Master!$D$30:$G$229,4,FALSE)</f>
        <v>Ostala lična primanja</v>
      </c>
      <c r="C125" s="638"/>
      <c r="D125" s="638"/>
      <c r="E125" s="638"/>
      <c r="F125" s="63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7" t="str">
        <f>+VLOOKUP(LEFT($A126,LEN(A126)-1)*1,Master!$D$30:$G$229,4,FALSE)</f>
        <v>Rashodi za materijal</v>
      </c>
      <c r="C126" s="638"/>
      <c r="D126" s="638"/>
      <c r="E126" s="638"/>
      <c r="F126" s="63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7" t="str">
        <f>+VLOOKUP(LEFT($A127,LEN(A127)-1)*1,Master!$D$30:$G$229,4,FALSE)</f>
        <v>Rashodi za usluge</v>
      </c>
      <c r="C127" s="638"/>
      <c r="D127" s="638"/>
      <c r="E127" s="638"/>
      <c r="F127" s="63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7" t="str">
        <f>+VLOOKUP(LEFT($A128,LEN(A128)-1)*1,Master!$D$30:$G$229,4,FALSE)</f>
        <v>Rashodi za tekuće održavanje</v>
      </c>
      <c r="C128" s="638"/>
      <c r="D128" s="638"/>
      <c r="E128" s="638"/>
      <c r="F128" s="63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7" t="str">
        <f>+VLOOKUP(LEFT($A129,LEN(A129)-1)*1,Master!$D$30:$G$229,4,FALSE)</f>
        <v>Kamate</v>
      </c>
      <c r="C129" s="638"/>
      <c r="D129" s="638"/>
      <c r="E129" s="638"/>
      <c r="F129" s="63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7" t="str">
        <f>+VLOOKUP(LEFT($A130,LEN(A130)-1)*1,Master!$D$30:$G$229,4,FALSE)</f>
        <v>Renta</v>
      </c>
      <c r="C130" s="638"/>
      <c r="D130" s="638"/>
      <c r="E130" s="638"/>
      <c r="F130" s="63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7" t="str">
        <f>+VLOOKUP(LEFT($A131,LEN(A131)-1)*1,Master!$D$30:$G$229,4,FALSE)</f>
        <v>Subvencije</v>
      </c>
      <c r="C131" s="638"/>
      <c r="D131" s="638"/>
      <c r="E131" s="638"/>
      <c r="F131" s="63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7" t="str">
        <f>+VLOOKUP(LEFT($A132,LEN(A132)-1)*1,Master!$D$30:$G$229,4,FALSE)</f>
        <v>Ostali izdaci</v>
      </c>
      <c r="C132" s="638"/>
      <c r="D132" s="638"/>
      <c r="E132" s="638"/>
      <c r="F132" s="63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7" t="str">
        <f>+VLOOKUP(LEFT($A133,LEN(A133)-1)*1,Master!$D$30:$G$229,4,FALSE)</f>
        <v>Transferi za socijalnu zaštitu</v>
      </c>
      <c r="C133" s="658"/>
      <c r="D133" s="658"/>
      <c r="E133" s="658"/>
      <c r="F133" s="658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7" t="str">
        <f>+VLOOKUP(LEFT($A134,LEN(A134)-1)*1,Master!$D$30:$G$229,4,FALSE)</f>
        <v>Prava iz oblasti socijalne zaštite</v>
      </c>
      <c r="C134" s="638"/>
      <c r="D134" s="638"/>
      <c r="E134" s="638"/>
      <c r="F134" s="63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7" t="str">
        <f>+VLOOKUP(LEFT($A135,LEN(A135)-1)*1,Master!$D$30:$G$229,4,FALSE)</f>
        <v>Sredstva za tehnološke viškove</v>
      </c>
      <c r="C135" s="638"/>
      <c r="D135" s="638"/>
      <c r="E135" s="638"/>
      <c r="F135" s="63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7" t="str">
        <f>+VLOOKUP(LEFT($A136,LEN(A136)-1)*1,Master!$D$30:$G$229,4,FALSE)</f>
        <v>Prava iz oblasti penzijskog i invalidskog osiguranja</v>
      </c>
      <c r="C136" s="638"/>
      <c r="D136" s="638"/>
      <c r="E136" s="638"/>
      <c r="F136" s="63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7" t="str">
        <f>+VLOOKUP(LEFT($A137,LEN(A137)-1)*1,Master!$D$30:$G$229,4,FALSE)</f>
        <v>Ostala prava iz oblasti zdravstvene zaštite</v>
      </c>
      <c r="C137" s="638"/>
      <c r="D137" s="638"/>
      <c r="E137" s="638"/>
      <c r="F137" s="63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7" t="str">
        <f>+VLOOKUP(LEFT($A138,LEN(A138)-1)*1,Master!$D$30:$G$229,4,FALSE)</f>
        <v>Ostala prava iz zdravstvenog osiguranja</v>
      </c>
      <c r="C138" s="638"/>
      <c r="D138" s="638"/>
      <c r="E138" s="638"/>
      <c r="F138" s="63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53" t="str">
        <f>+VLOOKUP(LEFT($A139,LEN(A139)-1)*1,Master!$D$30:$G$229,4,FALSE)</f>
        <v xml:space="preserve">Transferi institucijama, pojedincima, nevladinom i javnom sektoru </v>
      </c>
      <c r="C139" s="654"/>
      <c r="D139" s="654"/>
      <c r="E139" s="654"/>
      <c r="F139" s="654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53" t="str">
        <f>+VLOOKUP(LEFT($A140,LEN(A140)-1)*1,Master!$D$30:$G$229,4,FALSE)</f>
        <v>Kapitalni izdaci</v>
      </c>
      <c r="C140" s="654"/>
      <c r="D140" s="654"/>
      <c r="E140" s="654"/>
      <c r="F140" s="654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5" t="str">
        <f>+VLOOKUP(LEFT($A141,LEN(A141)-1)*1,Master!$D$30:$G$229,4,FALSE)</f>
        <v>Pozajmice i krediti</v>
      </c>
      <c r="C141" s="656"/>
      <c r="D141" s="656"/>
      <c r="E141" s="656"/>
      <c r="F141" s="656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5" t="str">
        <f>+VLOOKUP(LEFT($A142,LEN(A142)-1)*1,Master!$D$30:$G$229,4,FALSE)</f>
        <v>Rezerve</v>
      </c>
      <c r="C142" s="656"/>
      <c r="D142" s="656"/>
      <c r="E142" s="656"/>
      <c r="F142" s="656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5" t="str">
        <f>+VLOOKUP(LEFT($A143,LEN(A143)-1)*1,Master!$D$30:$G$229,4,FALSE)</f>
        <v>Otplata garancija</v>
      </c>
      <c r="C143" s="656"/>
      <c r="D143" s="656"/>
      <c r="E143" s="656"/>
      <c r="F143" s="656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5" t="str">
        <f>+VLOOKUP(LEFT($A144,LEN(A144)-1)*1,Master!$D$30:$G$229,4,FALSE)</f>
        <v>Otplata obaveza iz prethodnog perioda</v>
      </c>
      <c r="C144" s="656"/>
      <c r="D144" s="656"/>
      <c r="E144" s="656"/>
      <c r="F144" s="656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5" t="str">
        <f>+VLOOKUP(LEFT($A145,LEN(A145)-1)*1,Master!$D$30:$G$229,4,FALSE)</f>
        <v>Neto povećanje obaveza</v>
      </c>
      <c r="C145" s="656"/>
      <c r="D145" s="656"/>
      <c r="E145" s="656"/>
      <c r="F145" s="656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63" t="str">
        <f>+VLOOKUP(LEFT($A146,LEN(A146)-1)*1,Master!$D$30:$G$226,4,FALSE)</f>
        <v>Suficit / deficit</v>
      </c>
      <c r="C146" s="664"/>
      <c r="D146" s="664"/>
      <c r="E146" s="664"/>
      <c r="F146" s="664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5" t="str">
        <f>+VLOOKUP(LEFT($A147,LEN(A147)-1)*1,Master!$D$30:$G$226,4,FALSE)</f>
        <v>Primarni suficit/deficit</v>
      </c>
      <c r="C147" s="666"/>
      <c r="D147" s="666"/>
      <c r="E147" s="666"/>
      <c r="F147" s="666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7" t="str">
        <f>+VLOOKUP(LEFT($A148,LEN(A148)-1)*1,Master!$D$30:$G$226,4,FALSE)</f>
        <v>Otplata dugova</v>
      </c>
      <c r="C148" s="658"/>
      <c r="D148" s="658"/>
      <c r="E148" s="658"/>
      <c r="F148" s="658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61" t="str">
        <f>+VLOOKUP(LEFT($A149,LEN(A149)-1)*1,Master!$D$30:$G$226,4,FALSE)</f>
        <v>Otplata hartija od vrijednosti i kredita rezidentima</v>
      </c>
      <c r="C149" s="662"/>
      <c r="D149" s="662"/>
      <c r="E149" s="662"/>
      <c r="F149" s="66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5" t="str">
        <f>+VLOOKUP(LEFT($A150,LEN(A150)-1)*1,Master!$D$30:$G$226,4,FALSE)</f>
        <v>Otplata hartija od vrijednosti i kredita nerezidentima</v>
      </c>
      <c r="C150" s="656"/>
      <c r="D150" s="656"/>
      <c r="E150" s="656"/>
      <c r="F150" s="656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33" t="str">
        <f>+VLOOKUP(LEFT($A151,LEN(A151)-1)*1,Master!$D$30:$G$226,4,FALSE)</f>
        <v>Izdaci za kupovinu hartija od vrijednosti</v>
      </c>
      <c r="C151" s="634"/>
      <c r="D151" s="634"/>
      <c r="E151" s="634"/>
      <c r="F151" s="63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9" t="str">
        <f>+VLOOKUP(LEFT($A152,LEN(A152)-1)*1,Master!$D$30:$G$226,4,FALSE)</f>
        <v>Nedostajuća sredstva</v>
      </c>
      <c r="C152" s="660"/>
      <c r="D152" s="660"/>
      <c r="E152" s="660"/>
      <c r="F152" s="66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33" t="str">
        <f>+VLOOKUP(LEFT($A153,LEN(A153)-1)*1,Master!$D$30:$G$226,4,FALSE)</f>
        <v>Finansiranje</v>
      </c>
      <c r="C153" s="634"/>
      <c r="D153" s="634"/>
      <c r="E153" s="634"/>
      <c r="F153" s="63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61" t="str">
        <f>+VLOOKUP(LEFT($A154,LEN(A154)-1)*1,Master!$D$30:$G$226,4,FALSE)</f>
        <v>Pozajmice i krediti od domaćih izvora</v>
      </c>
      <c r="C154" s="662"/>
      <c r="D154" s="662"/>
      <c r="E154" s="662"/>
      <c r="F154" s="66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5" t="str">
        <f>+VLOOKUP(LEFT($A155,LEN(A155)-1)*1,Master!$D$30:$G$226,4,FALSE)</f>
        <v>Pozajmice i krediti od inostranih izvora</v>
      </c>
      <c r="C155" s="656"/>
      <c r="D155" s="656"/>
      <c r="E155" s="656"/>
      <c r="F155" s="656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5" t="str">
        <f>+VLOOKUP(LEFT($A156,LEN(A156)-1)*1,Master!$D$30:$G$226,4,FALSE)</f>
        <v>Primici od prodaje imovine</v>
      </c>
      <c r="C156" s="656"/>
      <c r="D156" s="656"/>
      <c r="E156" s="656"/>
      <c r="F156" s="656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70" t="s">
        <v>553</v>
      </c>
      <c r="C7" s="571"/>
      <c r="D7" s="571"/>
      <c r="E7" s="571"/>
      <c r="F7" s="571"/>
      <c r="G7" s="579">
        <v>2019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">
        <v>419</v>
      </c>
      <c r="T7" s="221">
        <v>4951000000</v>
      </c>
    </row>
    <row r="8" spans="1:20" ht="16.5" customHeight="1">
      <c r="A8" s="129"/>
      <c r="B8" s="572"/>
      <c r="C8" s="573"/>
      <c r="D8" s="573"/>
      <c r="E8" s="573"/>
      <c r="F8" s="57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9" t="s">
        <v>806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90" t="s">
        <v>680</v>
      </c>
      <c r="C10" s="591"/>
      <c r="D10" s="591"/>
      <c r="E10" s="591"/>
      <c r="F10" s="591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4" t="s">
        <v>21</v>
      </c>
      <c r="C11" s="615"/>
      <c r="D11" s="615"/>
      <c r="E11" s="615"/>
      <c r="F11" s="615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600" t="s">
        <v>23</v>
      </c>
      <c r="C12" s="601"/>
      <c r="D12" s="601"/>
      <c r="E12" s="601"/>
      <c r="F12" s="60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600" t="s">
        <v>25</v>
      </c>
      <c r="C13" s="601"/>
      <c r="D13" s="601"/>
      <c r="E13" s="601"/>
      <c r="F13" s="60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600" t="s">
        <v>27</v>
      </c>
      <c r="C14" s="601"/>
      <c r="D14" s="601"/>
      <c r="E14" s="601"/>
      <c r="F14" s="60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600" t="s">
        <v>29</v>
      </c>
      <c r="C15" s="601"/>
      <c r="D15" s="601"/>
      <c r="E15" s="601"/>
      <c r="F15" s="60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600" t="s">
        <v>31</v>
      </c>
      <c r="C16" s="601"/>
      <c r="D16" s="601"/>
      <c r="E16" s="601"/>
      <c r="F16" s="60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600" t="s">
        <v>33</v>
      </c>
      <c r="C17" s="601"/>
      <c r="D17" s="601"/>
      <c r="E17" s="601"/>
      <c r="F17" s="60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600" t="s">
        <v>721</v>
      </c>
      <c r="C18" s="601"/>
      <c r="D18" s="601"/>
      <c r="E18" s="601"/>
      <c r="F18" s="60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10" t="s">
        <v>37</v>
      </c>
      <c r="C19" s="611"/>
      <c r="D19" s="611"/>
      <c r="E19" s="611"/>
      <c r="F19" s="611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600" t="s">
        <v>39</v>
      </c>
      <c r="C20" s="601"/>
      <c r="D20" s="601"/>
      <c r="E20" s="601"/>
      <c r="F20" s="60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600" t="s">
        <v>41</v>
      </c>
      <c r="C21" s="601"/>
      <c r="D21" s="601"/>
      <c r="E21" s="601"/>
      <c r="F21" s="60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600" t="s">
        <v>43</v>
      </c>
      <c r="C22" s="601"/>
      <c r="D22" s="601"/>
      <c r="E22" s="601"/>
      <c r="F22" s="60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600" t="s">
        <v>45</v>
      </c>
      <c r="C23" s="601"/>
      <c r="D23" s="601"/>
      <c r="E23" s="601"/>
      <c r="F23" s="60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602" t="s">
        <v>47</v>
      </c>
      <c r="C24" s="603"/>
      <c r="D24" s="603"/>
      <c r="E24" s="603"/>
      <c r="F24" s="60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602" t="s">
        <v>61</v>
      </c>
      <c r="C25" s="603"/>
      <c r="D25" s="603"/>
      <c r="E25" s="603"/>
      <c r="F25" s="60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602" t="s">
        <v>81</v>
      </c>
      <c r="C26" s="603"/>
      <c r="D26" s="603"/>
      <c r="E26" s="603"/>
      <c r="F26" s="60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602" t="s">
        <v>99</v>
      </c>
      <c r="C27" s="603"/>
      <c r="D27" s="603"/>
      <c r="E27" s="603"/>
      <c r="F27" s="60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4" t="s">
        <v>105</v>
      </c>
      <c r="C28" s="605"/>
      <c r="D28" s="605"/>
      <c r="E28" s="605"/>
      <c r="F28" s="60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90" t="s">
        <v>801</v>
      </c>
      <c r="C29" s="591"/>
      <c r="D29" s="591"/>
      <c r="E29" s="591"/>
      <c r="F29" s="591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6" t="s">
        <v>120</v>
      </c>
      <c r="C30" s="607"/>
      <c r="D30" s="607"/>
      <c r="E30" s="607"/>
      <c r="F30" s="607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600" t="s">
        <v>122</v>
      </c>
      <c r="C31" s="601"/>
      <c r="D31" s="601"/>
      <c r="E31" s="601"/>
      <c r="F31" s="60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600" t="s">
        <v>133</v>
      </c>
      <c r="C32" s="601"/>
      <c r="D32" s="601"/>
      <c r="E32" s="601"/>
      <c r="F32" s="60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600" t="s">
        <v>148</v>
      </c>
      <c r="C33" s="601"/>
      <c r="D33" s="601"/>
      <c r="E33" s="601"/>
      <c r="F33" s="60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600" t="s">
        <v>162</v>
      </c>
      <c r="C34" s="601"/>
      <c r="D34" s="601"/>
      <c r="E34" s="601"/>
      <c r="F34" s="60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6" t="s">
        <v>182</v>
      </c>
      <c r="C35" s="617"/>
      <c r="D35" s="617"/>
      <c r="E35" s="617"/>
      <c r="F35" s="617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600" t="s">
        <v>190</v>
      </c>
      <c r="C36" s="601"/>
      <c r="D36" s="601"/>
      <c r="E36" s="601"/>
      <c r="F36" s="60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600" t="s">
        <v>196</v>
      </c>
      <c r="C37" s="601"/>
      <c r="D37" s="601"/>
      <c r="E37" s="601"/>
      <c r="F37" s="60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600" t="s">
        <v>204</v>
      </c>
      <c r="C38" s="601"/>
      <c r="D38" s="601"/>
      <c r="E38" s="601"/>
      <c r="F38" s="60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600" t="s">
        <v>212</v>
      </c>
      <c r="C39" s="601"/>
      <c r="D39" s="601"/>
      <c r="E39" s="601"/>
      <c r="F39" s="60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6" t="s">
        <v>230</v>
      </c>
      <c r="C40" s="597"/>
      <c r="D40" s="597"/>
      <c r="E40" s="597"/>
      <c r="F40" s="59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600" t="s">
        <v>232</v>
      </c>
      <c r="C41" s="601"/>
      <c r="D41" s="601"/>
      <c r="E41" s="601"/>
      <c r="F41" s="60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600" t="s">
        <v>248</v>
      </c>
      <c r="C42" s="601"/>
      <c r="D42" s="601"/>
      <c r="E42" s="601"/>
      <c r="F42" s="60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600" t="s">
        <v>259</v>
      </c>
      <c r="C43" s="601"/>
      <c r="D43" s="601"/>
      <c r="E43" s="601"/>
      <c r="F43" s="60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600" t="s">
        <v>274</v>
      </c>
      <c r="C44" s="601"/>
      <c r="D44" s="601"/>
      <c r="E44" s="601"/>
      <c r="F44" s="60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600" t="s">
        <v>278</v>
      </c>
      <c r="C45" s="601"/>
      <c r="D45" s="601"/>
      <c r="E45" s="601"/>
      <c r="F45" s="60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8" t="s">
        <v>286</v>
      </c>
      <c r="C46" s="599"/>
      <c r="D46" s="599"/>
      <c r="E46" s="599"/>
      <c r="F46" s="59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8" t="s">
        <v>320</v>
      </c>
      <c r="C47" s="599"/>
      <c r="D47" s="599"/>
      <c r="E47" s="599"/>
      <c r="F47" s="59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20" t="s">
        <v>113</v>
      </c>
      <c r="C48" s="621"/>
      <c r="D48" s="621"/>
      <c r="E48" s="621"/>
      <c r="F48" s="621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7" t="s">
        <v>366</v>
      </c>
      <c r="C49" s="628"/>
      <c r="D49" s="628"/>
      <c r="E49" s="628"/>
      <c r="F49" s="628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6" t="s">
        <v>359</v>
      </c>
      <c r="C50" s="587"/>
      <c r="D50" s="587"/>
      <c r="E50" s="587"/>
      <c r="F50" s="587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9" t="s">
        <v>794</v>
      </c>
      <c r="C51" s="630"/>
      <c r="D51" s="630"/>
      <c r="E51" s="630"/>
      <c r="F51" s="630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31" t="s">
        <v>684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92" t="s">
        <v>545</v>
      </c>
      <c r="C53" s="593"/>
      <c r="D53" s="593"/>
      <c r="E53" s="593"/>
      <c r="F53" s="59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4" t="s">
        <v>792</v>
      </c>
      <c r="C54" s="595"/>
      <c r="D54" s="595"/>
      <c r="E54" s="595"/>
      <c r="F54" s="59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25" t="s">
        <v>352</v>
      </c>
      <c r="C55" s="626"/>
      <c r="D55" s="626"/>
      <c r="E55" s="626"/>
      <c r="F55" s="62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4" t="s">
        <v>355</v>
      </c>
      <c r="C56" s="585"/>
      <c r="D56" s="585"/>
      <c r="E56" s="585"/>
      <c r="F56" s="585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8" t="s">
        <v>357</v>
      </c>
      <c r="C57" s="569"/>
      <c r="D57" s="569"/>
      <c r="E57" s="569"/>
      <c r="F57" s="56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71" t="s">
        <v>336</v>
      </c>
      <c r="C58" s="672"/>
      <c r="D58" s="672"/>
      <c r="E58" s="672"/>
      <c r="F58" s="67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8" t="s">
        <v>543</v>
      </c>
      <c r="C59" s="589"/>
      <c r="D59" s="589"/>
      <c r="E59" s="589"/>
      <c r="F59" s="58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90" t="s">
        <v>544</v>
      </c>
      <c r="C60" s="591"/>
      <c r="D60" s="591"/>
      <c r="E60" s="591"/>
      <c r="F60" s="591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4" t="s">
        <v>114</v>
      </c>
      <c r="C61" s="585"/>
      <c r="D61" s="585"/>
      <c r="E61" s="585"/>
      <c r="F61" s="585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8" t="s">
        <v>116</v>
      </c>
      <c r="C62" s="569"/>
      <c r="D62" s="569"/>
      <c r="E62" s="569"/>
      <c r="F62" s="56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8" t="s">
        <v>93</v>
      </c>
      <c r="C63" s="569"/>
      <c r="D63" s="569"/>
      <c r="E63" s="569"/>
      <c r="F63" s="56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9" t="s">
        <v>551</v>
      </c>
      <c r="C100" s="640"/>
      <c r="D100" s="640"/>
      <c r="E100" s="640"/>
      <c r="F100" s="640"/>
      <c r="G100" s="622">
        <v>2019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f>+T7</f>
        <v>4951000000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2" t="s">
        <v>806</v>
      </c>
      <c r="T101" s="624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9" t="s">
        <v>680</v>
      </c>
      <c r="C103" s="670"/>
      <c r="D103" s="670"/>
      <c r="E103" s="670"/>
      <c r="F103" s="670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5" t="s">
        <v>21</v>
      </c>
      <c r="C104" s="636"/>
      <c r="D104" s="636"/>
      <c r="E104" s="636"/>
      <c r="F104" s="63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7" t="s">
        <v>23</v>
      </c>
      <c r="C105" s="638"/>
      <c r="D105" s="638"/>
      <c r="E105" s="638"/>
      <c r="F105" s="63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7" t="s">
        <v>25</v>
      </c>
      <c r="C106" s="638"/>
      <c r="D106" s="638"/>
      <c r="E106" s="638"/>
      <c r="F106" s="63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7" t="s">
        <v>27</v>
      </c>
      <c r="C107" s="638"/>
      <c r="D107" s="638"/>
      <c r="E107" s="638"/>
      <c r="F107" s="63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7" t="s">
        <v>29</v>
      </c>
      <c r="C108" s="638"/>
      <c r="D108" s="638"/>
      <c r="E108" s="638"/>
      <c r="F108" s="63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7" t="s">
        <v>31</v>
      </c>
      <c r="C109" s="638"/>
      <c r="D109" s="638"/>
      <c r="E109" s="638"/>
      <c r="F109" s="63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7" t="s">
        <v>33</v>
      </c>
      <c r="C110" s="638"/>
      <c r="D110" s="638"/>
      <c r="E110" s="638"/>
      <c r="F110" s="63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7" t="s">
        <v>721</v>
      </c>
      <c r="C111" s="638"/>
      <c r="D111" s="638"/>
      <c r="E111" s="638"/>
      <c r="F111" s="63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7" t="s">
        <v>37</v>
      </c>
      <c r="C112" s="668"/>
      <c r="D112" s="668"/>
      <c r="E112" s="668"/>
      <c r="F112" s="66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7" t="s">
        <v>39</v>
      </c>
      <c r="C113" s="638"/>
      <c r="D113" s="638"/>
      <c r="E113" s="638"/>
      <c r="F113" s="63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7" t="s">
        <v>41</v>
      </c>
      <c r="C114" s="638"/>
      <c r="D114" s="638"/>
      <c r="E114" s="638"/>
      <c r="F114" s="63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7" t="s">
        <v>43</v>
      </c>
      <c r="C115" s="638"/>
      <c r="D115" s="638"/>
      <c r="E115" s="638"/>
      <c r="F115" s="63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7" t="s">
        <v>45</v>
      </c>
      <c r="C116" s="638"/>
      <c r="D116" s="638"/>
      <c r="E116" s="638"/>
      <c r="F116" s="63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7" t="s">
        <v>47</v>
      </c>
      <c r="C117" s="648"/>
      <c r="D117" s="648"/>
      <c r="E117" s="648"/>
      <c r="F117" s="648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7" t="s">
        <v>61</v>
      </c>
      <c r="C118" s="648"/>
      <c r="D118" s="648"/>
      <c r="E118" s="648"/>
      <c r="F118" s="648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7" t="s">
        <v>81</v>
      </c>
      <c r="C119" s="648"/>
      <c r="D119" s="648"/>
      <c r="E119" s="648"/>
      <c r="F119" s="648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7" t="s">
        <v>99</v>
      </c>
      <c r="C120" s="648"/>
      <c r="D120" s="648"/>
      <c r="E120" s="648"/>
      <c r="F120" s="648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9" t="s">
        <v>105</v>
      </c>
      <c r="C121" s="650"/>
      <c r="D121" s="650"/>
      <c r="E121" s="650"/>
      <c r="F121" s="65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33" t="s">
        <v>808</v>
      </c>
      <c r="C122" s="634"/>
      <c r="D122" s="634"/>
      <c r="E122" s="634"/>
      <c r="F122" s="63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5" t="s">
        <v>773</v>
      </c>
      <c r="C123" s="676"/>
      <c r="D123" s="676"/>
      <c r="E123" s="676"/>
      <c r="F123" s="676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51" t="e">
        <v>#REF!</v>
      </c>
      <c r="C124" s="652"/>
      <c r="D124" s="652"/>
      <c r="E124" s="652"/>
      <c r="F124" s="65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7" t="s">
        <v>122</v>
      </c>
      <c r="C125" s="638"/>
      <c r="D125" s="638"/>
      <c r="E125" s="638"/>
      <c r="F125" s="63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7" t="s">
        <v>133</v>
      </c>
      <c r="C126" s="638"/>
      <c r="D126" s="638"/>
      <c r="E126" s="638"/>
      <c r="F126" s="63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7" t="s">
        <v>148</v>
      </c>
      <c r="C127" s="638"/>
      <c r="D127" s="638"/>
      <c r="E127" s="638"/>
      <c r="F127" s="63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7" t="s">
        <v>162</v>
      </c>
      <c r="C128" s="638"/>
      <c r="D128" s="638"/>
      <c r="E128" s="638"/>
      <c r="F128" s="63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7" t="s">
        <v>182</v>
      </c>
      <c r="C129" s="638"/>
      <c r="D129" s="638"/>
      <c r="E129" s="638"/>
      <c r="F129" s="63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7" t="s">
        <v>190</v>
      </c>
      <c r="C130" s="638"/>
      <c r="D130" s="638"/>
      <c r="E130" s="638"/>
      <c r="F130" s="63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7" t="s">
        <v>196</v>
      </c>
      <c r="C131" s="638"/>
      <c r="D131" s="638"/>
      <c r="E131" s="638"/>
      <c r="F131" s="63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7" t="s">
        <v>204</v>
      </c>
      <c r="C132" s="638"/>
      <c r="D132" s="638"/>
      <c r="E132" s="638"/>
      <c r="F132" s="63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7" t="s">
        <v>212</v>
      </c>
      <c r="C133" s="638"/>
      <c r="D133" s="638"/>
      <c r="E133" s="638"/>
      <c r="F133" s="63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7" t="e">
        <v>#REF!</v>
      </c>
      <c r="C134" s="638"/>
      <c r="D134" s="638"/>
      <c r="E134" s="638"/>
      <c r="F134" s="63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7" t="s">
        <v>230</v>
      </c>
      <c r="C135" s="658"/>
      <c r="D135" s="658"/>
      <c r="E135" s="658"/>
      <c r="F135" s="658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7" t="s">
        <v>232</v>
      </c>
      <c r="C136" s="638"/>
      <c r="D136" s="638"/>
      <c r="E136" s="638"/>
      <c r="F136" s="63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7" t="s">
        <v>248</v>
      </c>
      <c r="C137" s="638"/>
      <c r="D137" s="638"/>
      <c r="E137" s="638"/>
      <c r="F137" s="63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7" t="s">
        <v>259</v>
      </c>
      <c r="C138" s="638"/>
      <c r="D138" s="638"/>
      <c r="E138" s="638"/>
      <c r="F138" s="63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7" t="s">
        <v>274</v>
      </c>
      <c r="C139" s="638"/>
      <c r="D139" s="638"/>
      <c r="E139" s="638"/>
      <c r="F139" s="63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7" t="s">
        <v>278</v>
      </c>
      <c r="C140" s="638"/>
      <c r="D140" s="638"/>
      <c r="E140" s="638"/>
      <c r="F140" s="63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53" t="s">
        <v>286</v>
      </c>
      <c r="C141" s="654"/>
      <c r="D141" s="654"/>
      <c r="E141" s="654"/>
      <c r="F141" s="654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53" t="s">
        <v>809</v>
      </c>
      <c r="C142" s="654"/>
      <c r="D142" s="654"/>
      <c r="E142" s="654"/>
      <c r="F142" s="654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5" t="s">
        <v>113</v>
      </c>
      <c r="C143" s="656"/>
      <c r="D143" s="656"/>
      <c r="E143" s="656"/>
      <c r="F143" s="656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5" t="s">
        <v>366</v>
      </c>
      <c r="C144" s="656"/>
      <c r="D144" s="656"/>
      <c r="E144" s="656"/>
      <c r="F144" s="656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5" t="s">
        <v>359</v>
      </c>
      <c r="C145" s="656"/>
      <c r="D145" s="656"/>
      <c r="E145" s="656"/>
      <c r="F145" s="656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5" t="s">
        <v>365</v>
      </c>
      <c r="C146" s="656"/>
      <c r="D146" s="656"/>
      <c r="E146" s="656"/>
      <c r="F146" s="656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3" t="s">
        <v>685</v>
      </c>
      <c r="C147" s="674"/>
      <c r="D147" s="674"/>
      <c r="E147" s="674"/>
      <c r="F147" s="67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63" t="s">
        <v>545</v>
      </c>
      <c r="C148" s="664"/>
      <c r="D148" s="664"/>
      <c r="E148" s="664"/>
      <c r="F148" s="664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5" t="s">
        <v>810</v>
      </c>
      <c r="C149" s="666"/>
      <c r="D149" s="666"/>
      <c r="E149" s="666"/>
      <c r="F149" s="666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7" t="s">
        <v>352</v>
      </c>
      <c r="C150" s="658"/>
      <c r="D150" s="658"/>
      <c r="E150" s="658"/>
      <c r="F150" s="658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61" t="s">
        <v>355</v>
      </c>
      <c r="C151" s="662"/>
      <c r="D151" s="662"/>
      <c r="E151" s="662"/>
      <c r="F151" s="66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5" t="s">
        <v>357</v>
      </c>
      <c r="C152" s="656"/>
      <c r="D152" s="656"/>
      <c r="E152" s="656"/>
      <c r="F152" s="656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71" t="s">
        <v>336</v>
      </c>
      <c r="C153" s="672"/>
      <c r="D153" s="672"/>
      <c r="E153" s="672"/>
      <c r="F153" s="67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9" t="s">
        <v>543</v>
      </c>
      <c r="C154" s="660"/>
      <c r="D154" s="660"/>
      <c r="E154" s="660"/>
      <c r="F154" s="66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33" t="s">
        <v>544</v>
      </c>
      <c r="C155" s="634"/>
      <c r="D155" s="634"/>
      <c r="E155" s="634"/>
      <c r="F155" s="63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61" t="s">
        <v>114</v>
      </c>
      <c r="C156" s="662"/>
      <c r="D156" s="662"/>
      <c r="E156" s="662"/>
      <c r="F156" s="66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5" t="s">
        <v>116</v>
      </c>
      <c r="C157" s="656"/>
      <c r="D157" s="656"/>
      <c r="E157" s="656"/>
      <c r="F157" s="656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5" t="s">
        <v>93</v>
      </c>
      <c r="C158" s="656"/>
      <c r="D158" s="656"/>
      <c r="E158" s="656"/>
      <c r="F158" s="656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70" t="s">
        <v>553</v>
      </c>
      <c r="C7" s="571"/>
      <c r="D7" s="571"/>
      <c r="E7" s="571"/>
      <c r="F7" s="571"/>
      <c r="G7" s="579">
        <v>2018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">
        <v>419</v>
      </c>
      <c r="T7" s="221">
        <v>4663130000</v>
      </c>
    </row>
    <row r="8" spans="1:20" ht="16.5" customHeight="1">
      <c r="A8" s="129"/>
      <c r="B8" s="572"/>
      <c r="C8" s="573"/>
      <c r="D8" s="573"/>
      <c r="E8" s="573"/>
      <c r="F8" s="57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9" t="s">
        <v>806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12" t="s">
        <v>680</v>
      </c>
      <c r="C10" s="613"/>
      <c r="D10" s="613"/>
      <c r="E10" s="613"/>
      <c r="F10" s="613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4" t="s">
        <v>21</v>
      </c>
      <c r="C11" s="615"/>
      <c r="D11" s="615"/>
      <c r="E11" s="615"/>
      <c r="F11" s="615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600" t="s">
        <v>23</v>
      </c>
      <c r="C12" s="601"/>
      <c r="D12" s="601"/>
      <c r="E12" s="601"/>
      <c r="F12" s="60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600" t="s">
        <v>25</v>
      </c>
      <c r="C13" s="601"/>
      <c r="D13" s="601"/>
      <c r="E13" s="601"/>
      <c r="F13" s="60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600" t="s">
        <v>27</v>
      </c>
      <c r="C14" s="601"/>
      <c r="D14" s="601"/>
      <c r="E14" s="601"/>
      <c r="F14" s="60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600" t="s">
        <v>29</v>
      </c>
      <c r="C15" s="601"/>
      <c r="D15" s="601"/>
      <c r="E15" s="601"/>
      <c r="F15" s="60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600" t="s">
        <v>31</v>
      </c>
      <c r="C16" s="601"/>
      <c r="D16" s="601"/>
      <c r="E16" s="601"/>
      <c r="F16" s="60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600" t="s">
        <v>33</v>
      </c>
      <c r="C17" s="601"/>
      <c r="D17" s="601"/>
      <c r="E17" s="601"/>
      <c r="F17" s="60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600" t="s">
        <v>721</v>
      </c>
      <c r="C18" s="601"/>
      <c r="D18" s="601"/>
      <c r="E18" s="601"/>
      <c r="F18" s="60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10" t="s">
        <v>37</v>
      </c>
      <c r="C19" s="611"/>
      <c r="D19" s="611"/>
      <c r="E19" s="611"/>
      <c r="F19" s="611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600" t="s">
        <v>39</v>
      </c>
      <c r="C20" s="601"/>
      <c r="D20" s="601"/>
      <c r="E20" s="601"/>
      <c r="F20" s="60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600" t="s">
        <v>41</v>
      </c>
      <c r="C21" s="601"/>
      <c r="D21" s="601"/>
      <c r="E21" s="601"/>
      <c r="F21" s="60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600" t="s">
        <v>43</v>
      </c>
      <c r="C22" s="601"/>
      <c r="D22" s="601"/>
      <c r="E22" s="601"/>
      <c r="F22" s="60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600" t="s">
        <v>45</v>
      </c>
      <c r="C23" s="601"/>
      <c r="D23" s="601"/>
      <c r="E23" s="601"/>
      <c r="F23" s="60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602" t="s">
        <v>47</v>
      </c>
      <c r="C24" s="603"/>
      <c r="D24" s="603"/>
      <c r="E24" s="603"/>
      <c r="F24" s="60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602" t="s">
        <v>61</v>
      </c>
      <c r="C25" s="603"/>
      <c r="D25" s="603"/>
      <c r="E25" s="603"/>
      <c r="F25" s="60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602" t="s">
        <v>81</v>
      </c>
      <c r="C26" s="603"/>
      <c r="D26" s="603"/>
      <c r="E26" s="603"/>
      <c r="F26" s="60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602" t="s">
        <v>99</v>
      </c>
      <c r="C27" s="603"/>
      <c r="D27" s="603"/>
      <c r="E27" s="603"/>
      <c r="F27" s="60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4" t="s">
        <v>105</v>
      </c>
      <c r="C28" s="605"/>
      <c r="D28" s="605"/>
      <c r="E28" s="605"/>
      <c r="F28" s="60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90" t="s">
        <v>801</v>
      </c>
      <c r="C29" s="591"/>
      <c r="D29" s="591"/>
      <c r="E29" s="591"/>
      <c r="F29" s="591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6" t="s">
        <v>773</v>
      </c>
      <c r="C30" s="607"/>
      <c r="D30" s="607"/>
      <c r="E30" s="607"/>
      <c r="F30" s="607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8" t="s">
        <v>120</v>
      </c>
      <c r="C31" s="609"/>
      <c r="D31" s="609"/>
      <c r="E31" s="609"/>
      <c r="F31" s="609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600" t="s">
        <v>122</v>
      </c>
      <c r="C32" s="601"/>
      <c r="D32" s="601"/>
      <c r="E32" s="601"/>
      <c r="F32" s="60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600" t="s">
        <v>133</v>
      </c>
      <c r="C33" s="601"/>
      <c r="D33" s="601"/>
      <c r="E33" s="601"/>
      <c r="F33" s="60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600" t="s">
        <v>148</v>
      </c>
      <c r="C34" s="601"/>
      <c r="D34" s="601"/>
      <c r="E34" s="601"/>
      <c r="F34" s="60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600" t="s">
        <v>162</v>
      </c>
      <c r="C35" s="601"/>
      <c r="D35" s="601"/>
      <c r="E35" s="601"/>
      <c r="F35" s="60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600" t="s">
        <v>182</v>
      </c>
      <c r="C36" s="601"/>
      <c r="D36" s="601"/>
      <c r="E36" s="601"/>
      <c r="F36" s="60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600" t="s">
        <v>190</v>
      </c>
      <c r="C37" s="601"/>
      <c r="D37" s="601"/>
      <c r="E37" s="601"/>
      <c r="F37" s="60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600" t="s">
        <v>196</v>
      </c>
      <c r="C38" s="601"/>
      <c r="D38" s="601"/>
      <c r="E38" s="601"/>
      <c r="F38" s="60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600" t="s">
        <v>204</v>
      </c>
      <c r="C39" s="601"/>
      <c r="D39" s="601"/>
      <c r="E39" s="601"/>
      <c r="F39" s="60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600" t="s">
        <v>212</v>
      </c>
      <c r="C40" s="601"/>
      <c r="D40" s="601"/>
      <c r="E40" s="601"/>
      <c r="F40" s="60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600" t="s">
        <v>802</v>
      </c>
      <c r="C41" s="601"/>
      <c r="D41" s="601"/>
      <c r="E41" s="601"/>
      <c r="F41" s="60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6" t="s">
        <v>230</v>
      </c>
      <c r="C42" s="597"/>
      <c r="D42" s="597"/>
      <c r="E42" s="597"/>
      <c r="F42" s="59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600" t="s">
        <v>232</v>
      </c>
      <c r="C43" s="601"/>
      <c r="D43" s="601"/>
      <c r="E43" s="601"/>
      <c r="F43" s="60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600" t="s">
        <v>248</v>
      </c>
      <c r="C44" s="601"/>
      <c r="D44" s="601"/>
      <c r="E44" s="601"/>
      <c r="F44" s="60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600" t="s">
        <v>259</v>
      </c>
      <c r="C45" s="601"/>
      <c r="D45" s="601"/>
      <c r="E45" s="601"/>
      <c r="F45" s="60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600" t="s">
        <v>274</v>
      </c>
      <c r="C46" s="601"/>
      <c r="D46" s="601"/>
      <c r="E46" s="601"/>
      <c r="F46" s="60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9" t="s">
        <v>278</v>
      </c>
      <c r="C47" s="680"/>
      <c r="D47" s="680"/>
      <c r="E47" s="680"/>
      <c r="F47" s="680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8" t="s">
        <v>286</v>
      </c>
      <c r="C48" s="599"/>
      <c r="D48" s="599"/>
      <c r="E48" s="599"/>
      <c r="F48" s="59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8" t="s">
        <v>320</v>
      </c>
      <c r="C49" s="599"/>
      <c r="D49" s="599"/>
      <c r="E49" s="599"/>
      <c r="F49" s="59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20" t="s">
        <v>113</v>
      </c>
      <c r="C50" s="621"/>
      <c r="D50" s="621"/>
      <c r="E50" s="621"/>
      <c r="F50" s="621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8" t="s">
        <v>366</v>
      </c>
      <c r="C51" s="569"/>
      <c r="D51" s="569"/>
      <c r="E51" s="569"/>
      <c r="F51" s="56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6" t="s">
        <v>359</v>
      </c>
      <c r="C52" s="587"/>
      <c r="D52" s="587"/>
      <c r="E52" s="587"/>
      <c r="F52" s="587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9" t="s">
        <v>794</v>
      </c>
      <c r="C53" s="630"/>
      <c r="D53" s="630"/>
      <c r="E53" s="630"/>
      <c r="F53" s="630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31" t="s">
        <v>684</v>
      </c>
      <c r="C54" s="632"/>
      <c r="D54" s="632"/>
      <c r="E54" s="632"/>
      <c r="F54" s="632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92" t="s">
        <v>545</v>
      </c>
      <c r="C55" s="593"/>
      <c r="D55" s="593"/>
      <c r="E55" s="593"/>
      <c r="F55" s="59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4" t="s">
        <v>793</v>
      </c>
      <c r="C57" s="595"/>
      <c r="D57" s="595"/>
      <c r="E57" s="595"/>
      <c r="F57" s="59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25" t="s">
        <v>352</v>
      </c>
      <c r="C58" s="626"/>
      <c r="D58" s="626"/>
      <c r="E58" s="626"/>
      <c r="F58" s="62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4" t="s">
        <v>355</v>
      </c>
      <c r="C59" s="585"/>
      <c r="D59" s="585"/>
      <c r="E59" s="585"/>
      <c r="F59" s="585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8" t="s">
        <v>357</v>
      </c>
      <c r="C60" s="569"/>
      <c r="D60" s="569"/>
      <c r="E60" s="569"/>
      <c r="F60" s="56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7" t="s">
        <v>336</v>
      </c>
      <c r="C61" s="678"/>
      <c r="D61" s="678"/>
      <c r="E61" s="678"/>
      <c r="F61" s="67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8" t="s">
        <v>543</v>
      </c>
      <c r="C62" s="589"/>
      <c r="D62" s="589"/>
      <c r="E62" s="589"/>
      <c r="F62" s="58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90" t="s">
        <v>544</v>
      </c>
      <c r="C63" s="591"/>
      <c r="D63" s="591"/>
      <c r="E63" s="591"/>
      <c r="F63" s="591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4" t="s">
        <v>114</v>
      </c>
      <c r="C64" s="585"/>
      <c r="D64" s="585"/>
      <c r="E64" s="585"/>
      <c r="F64" s="585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8" t="s">
        <v>116</v>
      </c>
      <c r="C65" s="569"/>
      <c r="D65" s="569"/>
      <c r="E65" s="569"/>
      <c r="F65" s="56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8" t="s">
        <v>93</v>
      </c>
      <c r="C66" s="569"/>
      <c r="D66" s="569"/>
      <c r="E66" s="569"/>
      <c r="F66" s="56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9" t="s">
        <v>551</v>
      </c>
      <c r="C103" s="640"/>
      <c r="D103" s="640"/>
      <c r="E103" s="640"/>
      <c r="F103" s="640"/>
      <c r="G103" s="622">
        <v>2018</v>
      </c>
      <c r="H103" s="623"/>
      <c r="I103" s="623"/>
      <c r="J103" s="623"/>
      <c r="K103" s="623"/>
      <c r="L103" s="623"/>
      <c r="M103" s="623"/>
      <c r="N103" s="623"/>
      <c r="O103" s="623"/>
      <c r="P103" s="623"/>
      <c r="Q103" s="623"/>
      <c r="R103" s="624"/>
      <c r="S103" s="96" t="str">
        <f>+S7</f>
        <v>BDP</v>
      </c>
      <c r="T103" s="97">
        <f>+T7</f>
        <v>4663130000</v>
      </c>
    </row>
    <row r="104" spans="1:21" ht="15.75" customHeight="1">
      <c r="B104" s="641"/>
      <c r="C104" s="642"/>
      <c r="D104" s="642"/>
      <c r="E104" s="642"/>
      <c r="F104" s="64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2" t="s">
        <v>806</v>
      </c>
      <c r="T104" s="624">
        <f>+T8</f>
        <v>0</v>
      </c>
    </row>
    <row r="105" spans="1:21" ht="13.5" thickBot="1">
      <c r="B105" s="644"/>
      <c r="C105" s="645"/>
      <c r="D105" s="645"/>
      <c r="E105" s="645"/>
      <c r="F105" s="64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9" t="s">
        <v>680</v>
      </c>
      <c r="C106" s="670"/>
      <c r="D106" s="670"/>
      <c r="E106" s="670"/>
      <c r="F106" s="670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5" t="s">
        <v>21</v>
      </c>
      <c r="C107" s="636"/>
      <c r="D107" s="636"/>
      <c r="E107" s="636"/>
      <c r="F107" s="63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7" t="s">
        <v>23</v>
      </c>
      <c r="C108" s="638"/>
      <c r="D108" s="638"/>
      <c r="E108" s="638"/>
      <c r="F108" s="63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7" t="s">
        <v>25</v>
      </c>
      <c r="C109" s="638"/>
      <c r="D109" s="638"/>
      <c r="E109" s="638"/>
      <c r="F109" s="63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7" t="s">
        <v>27</v>
      </c>
      <c r="C110" s="638"/>
      <c r="D110" s="638"/>
      <c r="E110" s="638"/>
      <c r="F110" s="63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7" t="s">
        <v>29</v>
      </c>
      <c r="C111" s="638"/>
      <c r="D111" s="638"/>
      <c r="E111" s="638"/>
      <c r="F111" s="63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7" t="s">
        <v>31</v>
      </c>
      <c r="C112" s="638"/>
      <c r="D112" s="638"/>
      <c r="E112" s="638"/>
      <c r="F112" s="63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7" t="s">
        <v>33</v>
      </c>
      <c r="C113" s="638"/>
      <c r="D113" s="638"/>
      <c r="E113" s="638"/>
      <c r="F113" s="63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7" t="s">
        <v>721</v>
      </c>
      <c r="C114" s="638"/>
      <c r="D114" s="638"/>
      <c r="E114" s="638"/>
      <c r="F114" s="63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7" t="s">
        <v>37</v>
      </c>
      <c r="C115" s="668"/>
      <c r="D115" s="668"/>
      <c r="E115" s="668"/>
      <c r="F115" s="66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7" t="s">
        <v>39</v>
      </c>
      <c r="C116" s="638"/>
      <c r="D116" s="638"/>
      <c r="E116" s="638"/>
      <c r="F116" s="63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7" t="s">
        <v>41</v>
      </c>
      <c r="C117" s="638"/>
      <c r="D117" s="638"/>
      <c r="E117" s="638"/>
      <c r="F117" s="63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7" t="s">
        <v>43</v>
      </c>
      <c r="C118" s="638"/>
      <c r="D118" s="638"/>
      <c r="E118" s="638"/>
      <c r="F118" s="63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7" t="s">
        <v>45</v>
      </c>
      <c r="C119" s="638"/>
      <c r="D119" s="638"/>
      <c r="E119" s="638"/>
      <c r="F119" s="63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7" t="s">
        <v>47</v>
      </c>
      <c r="C120" s="648"/>
      <c r="D120" s="648"/>
      <c r="E120" s="648"/>
      <c r="F120" s="648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7" t="s">
        <v>61</v>
      </c>
      <c r="C121" s="648"/>
      <c r="D121" s="648"/>
      <c r="E121" s="648"/>
      <c r="F121" s="648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7" t="s">
        <v>81</v>
      </c>
      <c r="C122" s="648"/>
      <c r="D122" s="648"/>
      <c r="E122" s="648"/>
      <c r="F122" s="648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7" t="s">
        <v>99</v>
      </c>
      <c r="C123" s="648"/>
      <c r="D123" s="648"/>
      <c r="E123" s="648"/>
      <c r="F123" s="648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9" t="s">
        <v>105</v>
      </c>
      <c r="C124" s="650"/>
      <c r="D124" s="650"/>
      <c r="E124" s="650"/>
      <c r="F124" s="65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33" t="s">
        <v>808</v>
      </c>
      <c r="C125" s="634"/>
      <c r="D125" s="634"/>
      <c r="E125" s="634"/>
      <c r="F125" s="63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5" t="s">
        <v>773</v>
      </c>
      <c r="C126" s="676"/>
      <c r="D126" s="676"/>
      <c r="E126" s="676"/>
      <c r="F126" s="676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51" t="s">
        <v>120</v>
      </c>
      <c r="C127" s="652"/>
      <c r="D127" s="652"/>
      <c r="E127" s="652"/>
      <c r="F127" s="65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7" t="s">
        <v>122</v>
      </c>
      <c r="C128" s="638"/>
      <c r="D128" s="638"/>
      <c r="E128" s="638"/>
      <c r="F128" s="63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7" t="s">
        <v>133</v>
      </c>
      <c r="C129" s="638"/>
      <c r="D129" s="638"/>
      <c r="E129" s="638"/>
      <c r="F129" s="63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7" t="s">
        <v>148</v>
      </c>
      <c r="C130" s="638"/>
      <c r="D130" s="638"/>
      <c r="E130" s="638"/>
      <c r="F130" s="63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7" t="s">
        <v>162</v>
      </c>
      <c r="C131" s="638"/>
      <c r="D131" s="638"/>
      <c r="E131" s="638"/>
      <c r="F131" s="63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7" t="s">
        <v>182</v>
      </c>
      <c r="C132" s="638"/>
      <c r="D132" s="638"/>
      <c r="E132" s="638"/>
      <c r="F132" s="63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7" t="s">
        <v>190</v>
      </c>
      <c r="C133" s="638"/>
      <c r="D133" s="638"/>
      <c r="E133" s="638"/>
      <c r="F133" s="63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7" t="s">
        <v>196</v>
      </c>
      <c r="C134" s="638"/>
      <c r="D134" s="638"/>
      <c r="E134" s="638"/>
      <c r="F134" s="63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7" t="s">
        <v>204</v>
      </c>
      <c r="C135" s="638"/>
      <c r="D135" s="638"/>
      <c r="E135" s="638"/>
      <c r="F135" s="63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7" t="s">
        <v>212</v>
      </c>
      <c r="C136" s="638"/>
      <c r="D136" s="638"/>
      <c r="E136" s="638"/>
      <c r="F136" s="63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7" t="s">
        <v>802</v>
      </c>
      <c r="C137" s="638"/>
      <c r="D137" s="638"/>
      <c r="E137" s="638"/>
      <c r="F137" s="63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7" t="s">
        <v>230</v>
      </c>
      <c r="C138" s="658"/>
      <c r="D138" s="658"/>
      <c r="E138" s="658"/>
      <c r="F138" s="658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7" t="s">
        <v>232</v>
      </c>
      <c r="C139" s="638"/>
      <c r="D139" s="638"/>
      <c r="E139" s="638"/>
      <c r="F139" s="63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7" t="s">
        <v>248</v>
      </c>
      <c r="C140" s="638"/>
      <c r="D140" s="638"/>
      <c r="E140" s="638"/>
      <c r="F140" s="63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7" t="s">
        <v>259</v>
      </c>
      <c r="C141" s="638"/>
      <c r="D141" s="638"/>
      <c r="E141" s="638"/>
      <c r="F141" s="63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7" t="s">
        <v>274</v>
      </c>
      <c r="C142" s="638"/>
      <c r="D142" s="638"/>
      <c r="E142" s="638"/>
      <c r="F142" s="63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7" t="s">
        <v>278</v>
      </c>
      <c r="C143" s="638"/>
      <c r="D143" s="638"/>
      <c r="E143" s="638"/>
      <c r="F143" s="63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53" t="s">
        <v>286</v>
      </c>
      <c r="C144" s="654"/>
      <c r="D144" s="654"/>
      <c r="E144" s="654"/>
      <c r="F144" s="654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53" t="s">
        <v>809</v>
      </c>
      <c r="C145" s="654"/>
      <c r="D145" s="654"/>
      <c r="E145" s="654"/>
      <c r="F145" s="654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5" t="s">
        <v>113</v>
      </c>
      <c r="C146" s="656"/>
      <c r="D146" s="656"/>
      <c r="E146" s="656"/>
      <c r="F146" s="656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5" t="s">
        <v>366</v>
      </c>
      <c r="C147" s="656"/>
      <c r="D147" s="656"/>
      <c r="E147" s="656"/>
      <c r="F147" s="656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5" t="s">
        <v>359</v>
      </c>
      <c r="C148" s="656"/>
      <c r="D148" s="656"/>
      <c r="E148" s="656"/>
      <c r="F148" s="656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63" t="s">
        <v>545</v>
      </c>
      <c r="C150" s="664"/>
      <c r="D150" s="664"/>
      <c r="E150" s="664"/>
      <c r="F150" s="664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5" t="s">
        <v>810</v>
      </c>
      <c r="C151" s="666"/>
      <c r="D151" s="666"/>
      <c r="E151" s="666"/>
      <c r="F151" s="666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7" t="s">
        <v>352</v>
      </c>
      <c r="C152" s="658"/>
      <c r="D152" s="658"/>
      <c r="E152" s="658"/>
      <c r="F152" s="658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61" t="s">
        <v>355</v>
      </c>
      <c r="C153" s="662"/>
      <c r="D153" s="662"/>
      <c r="E153" s="662"/>
      <c r="F153" s="66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5" t="s">
        <v>357</v>
      </c>
      <c r="C154" s="656"/>
      <c r="D154" s="656"/>
      <c r="E154" s="656"/>
      <c r="F154" s="656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5" t="s">
        <v>365</v>
      </c>
      <c r="C155" s="656"/>
      <c r="D155" s="656"/>
      <c r="E155" s="656"/>
      <c r="F155" s="656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9" t="s">
        <v>543</v>
      </c>
      <c r="C157" s="660"/>
      <c r="D157" s="660"/>
      <c r="E157" s="660"/>
      <c r="F157" s="66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33" t="s">
        <v>544</v>
      </c>
      <c r="C158" s="634"/>
      <c r="D158" s="634"/>
      <c r="E158" s="634"/>
      <c r="F158" s="63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61" t="s">
        <v>114</v>
      </c>
      <c r="C159" s="662"/>
      <c r="D159" s="662"/>
      <c r="E159" s="662"/>
      <c r="F159" s="66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5" t="s">
        <v>116</v>
      </c>
      <c r="C160" s="656"/>
      <c r="D160" s="656"/>
      <c r="E160" s="656"/>
      <c r="F160" s="656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5" t="s">
        <v>93</v>
      </c>
      <c r="C161" s="656"/>
      <c r="D161" s="656"/>
      <c r="E161" s="656"/>
      <c r="F161" s="656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4" t="s">
        <v>554</v>
      </c>
      <c r="F6" s="681">
        <v>2006</v>
      </c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3"/>
      <c r="R6" s="681">
        <v>2007</v>
      </c>
      <c r="S6" s="682"/>
      <c r="T6" s="682"/>
      <c r="U6" s="682"/>
      <c r="V6" s="682"/>
      <c r="W6" s="682"/>
      <c r="X6" s="682"/>
      <c r="Y6" s="682"/>
      <c r="Z6" s="682"/>
      <c r="AA6" s="682"/>
      <c r="AB6" s="682"/>
      <c r="AC6" s="683"/>
      <c r="AD6" s="681">
        <v>2008</v>
      </c>
      <c r="AE6" s="682"/>
      <c r="AF6" s="682"/>
      <c r="AG6" s="682"/>
      <c r="AH6" s="682"/>
      <c r="AI6" s="682"/>
      <c r="AJ6" s="682"/>
      <c r="AK6" s="682"/>
      <c r="AL6" s="682"/>
      <c r="AM6" s="682"/>
      <c r="AN6" s="682"/>
      <c r="AO6" s="683"/>
      <c r="AP6" s="681">
        <v>2009</v>
      </c>
      <c r="AQ6" s="682"/>
      <c r="AR6" s="682"/>
      <c r="AS6" s="682"/>
      <c r="AT6" s="682"/>
      <c r="AU6" s="682"/>
      <c r="AV6" s="682"/>
      <c r="AW6" s="682"/>
      <c r="AX6" s="682"/>
      <c r="AY6" s="682"/>
      <c r="AZ6" s="682"/>
      <c r="BA6" s="683"/>
      <c r="BB6" s="681">
        <v>2010</v>
      </c>
      <c r="BC6" s="682"/>
      <c r="BD6" s="682"/>
      <c r="BE6" s="682"/>
      <c r="BF6" s="682"/>
      <c r="BG6" s="682"/>
      <c r="BH6" s="682"/>
      <c r="BI6" s="682"/>
      <c r="BJ6" s="682"/>
      <c r="BK6" s="682"/>
      <c r="BL6" s="682"/>
      <c r="BM6" s="683"/>
      <c r="BN6" s="681">
        <v>2011</v>
      </c>
      <c r="BO6" s="682"/>
      <c r="BP6" s="682"/>
      <c r="BQ6" s="682"/>
      <c r="BR6" s="682"/>
      <c r="BS6" s="682"/>
      <c r="BT6" s="682"/>
      <c r="BU6" s="682"/>
      <c r="BV6" s="682"/>
      <c r="BW6" s="682"/>
      <c r="BX6" s="682"/>
      <c r="BY6" s="683"/>
      <c r="BZ6" s="682">
        <v>2012</v>
      </c>
      <c r="CA6" s="682"/>
      <c r="CB6" s="682"/>
      <c r="CC6" s="682"/>
      <c r="CD6" s="682"/>
      <c r="CE6" s="682"/>
      <c r="CF6" s="682"/>
      <c r="CG6" s="682"/>
      <c r="CH6" s="682"/>
      <c r="CI6" s="682"/>
      <c r="CJ6" s="682"/>
      <c r="CK6" s="682"/>
      <c r="CL6" s="681">
        <v>2013</v>
      </c>
      <c r="CM6" s="682"/>
      <c r="CN6" s="682"/>
      <c r="CO6" s="682"/>
      <c r="CP6" s="682"/>
      <c r="CQ6" s="682"/>
      <c r="CR6" s="682"/>
      <c r="CS6" s="682"/>
      <c r="CT6" s="682"/>
      <c r="CU6" s="682"/>
      <c r="CV6" s="682"/>
      <c r="CW6" s="683"/>
      <c r="CX6" s="681">
        <v>2014</v>
      </c>
      <c r="CY6" s="682"/>
      <c r="CZ6" s="682"/>
      <c r="DA6" s="682"/>
      <c r="DB6" s="682"/>
      <c r="DC6" s="682"/>
      <c r="DD6" s="682"/>
      <c r="DE6" s="682"/>
      <c r="DF6" s="682"/>
      <c r="DG6" s="682"/>
      <c r="DH6" s="682"/>
      <c r="DI6" s="683"/>
      <c r="DJ6" s="681">
        <v>2015</v>
      </c>
      <c r="DK6" s="682"/>
      <c r="DL6" s="682"/>
      <c r="DM6" s="682"/>
      <c r="DN6" s="682"/>
      <c r="DO6" s="682"/>
      <c r="DP6" s="682"/>
      <c r="DQ6" s="682"/>
      <c r="DR6" s="682"/>
      <c r="DS6" s="682"/>
      <c r="DT6" s="682"/>
      <c r="DU6" s="683"/>
    </row>
    <row r="7" spans="1:321">
      <c r="E7" s="68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4" t="s">
        <v>675</v>
      </c>
      <c r="F214" s="681">
        <v>2006</v>
      </c>
      <c r="G214" s="682"/>
      <c r="H214" s="682"/>
      <c r="I214" s="682"/>
      <c r="J214" s="682"/>
      <c r="K214" s="682"/>
      <c r="L214" s="682"/>
      <c r="M214" s="682"/>
      <c r="N214" s="682"/>
      <c r="O214" s="682"/>
      <c r="P214" s="682"/>
      <c r="Q214" s="683"/>
      <c r="R214" s="681">
        <v>2007</v>
      </c>
      <c r="S214" s="682"/>
      <c r="T214" s="682"/>
      <c r="U214" s="682"/>
      <c r="V214" s="682"/>
      <c r="W214" s="682"/>
      <c r="X214" s="682"/>
      <c r="Y214" s="682"/>
      <c r="Z214" s="682"/>
      <c r="AA214" s="682"/>
      <c r="AB214" s="682"/>
      <c r="AC214" s="683"/>
      <c r="AD214" s="681">
        <v>2008</v>
      </c>
      <c r="AE214" s="682"/>
      <c r="AF214" s="682"/>
      <c r="AG214" s="682"/>
      <c r="AH214" s="682"/>
      <c r="AI214" s="682"/>
      <c r="AJ214" s="682"/>
      <c r="AK214" s="682"/>
      <c r="AL214" s="682"/>
      <c r="AM214" s="682"/>
      <c r="AN214" s="682"/>
      <c r="AO214" s="683"/>
      <c r="AP214" s="681">
        <v>2009</v>
      </c>
      <c r="AQ214" s="682"/>
      <c r="AR214" s="682"/>
      <c r="AS214" s="682"/>
      <c r="AT214" s="682"/>
      <c r="AU214" s="682"/>
      <c r="AV214" s="682"/>
      <c r="AW214" s="682"/>
      <c r="AX214" s="682"/>
      <c r="AY214" s="682"/>
      <c r="AZ214" s="682"/>
      <c r="BA214" s="683"/>
      <c r="BB214" s="681">
        <v>2010</v>
      </c>
      <c r="BC214" s="682"/>
      <c r="BD214" s="682"/>
      <c r="BE214" s="682"/>
      <c r="BF214" s="682"/>
      <c r="BG214" s="682"/>
      <c r="BH214" s="682"/>
      <c r="BI214" s="682"/>
      <c r="BJ214" s="682"/>
      <c r="BK214" s="682"/>
      <c r="BL214" s="682"/>
      <c r="BM214" s="683"/>
      <c r="BN214" s="681">
        <v>2011</v>
      </c>
      <c r="BO214" s="682"/>
      <c r="BP214" s="682"/>
      <c r="BQ214" s="682"/>
      <c r="BR214" s="682"/>
      <c r="BS214" s="682"/>
      <c r="BT214" s="682"/>
      <c r="BU214" s="682"/>
      <c r="BV214" s="682"/>
      <c r="BW214" s="682"/>
      <c r="BX214" s="682"/>
      <c r="BY214" s="683"/>
      <c r="BZ214" s="682">
        <v>2012</v>
      </c>
      <c r="CA214" s="682"/>
      <c r="CB214" s="682"/>
      <c r="CC214" s="682"/>
      <c r="CD214" s="682"/>
      <c r="CE214" s="682"/>
      <c r="CF214" s="682"/>
      <c r="CG214" s="682"/>
      <c r="CH214" s="682"/>
      <c r="CI214" s="682"/>
      <c r="CJ214" s="682"/>
      <c r="CK214" s="682"/>
      <c r="CL214" s="681">
        <v>2013</v>
      </c>
      <c r="CM214" s="682"/>
      <c r="CN214" s="682"/>
      <c r="CO214" s="682"/>
      <c r="CP214" s="682"/>
      <c r="CQ214" s="682"/>
      <c r="CR214" s="682"/>
      <c r="CS214" s="682"/>
      <c r="CT214" s="682"/>
      <c r="CU214" s="682"/>
      <c r="CV214" s="682"/>
      <c r="CW214" s="683"/>
      <c r="CX214" s="681">
        <v>2014</v>
      </c>
      <c r="CY214" s="682"/>
      <c r="CZ214" s="682"/>
      <c r="DA214" s="682"/>
      <c r="DB214" s="682"/>
      <c r="DC214" s="682"/>
      <c r="DD214" s="682"/>
      <c r="DE214" s="682"/>
      <c r="DF214" s="682"/>
      <c r="DG214" s="682"/>
      <c r="DH214" s="682"/>
      <c r="DI214" s="683"/>
      <c r="DJ214" s="681">
        <v>2015</v>
      </c>
      <c r="DK214" s="682"/>
      <c r="DL214" s="682"/>
      <c r="DM214" s="682"/>
      <c r="DN214" s="682"/>
      <c r="DO214" s="682"/>
      <c r="DP214" s="682"/>
      <c r="DQ214" s="682"/>
      <c r="DR214" s="682"/>
      <c r="DS214" s="682"/>
      <c r="DT214" s="682"/>
      <c r="DU214" s="683"/>
    </row>
    <row r="215" spans="1:187">
      <c r="E215" s="68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5" activePane="bottomLeft" state="frozen"/>
      <selection pane="bottomLeft" activeCell="C17" sqref="C17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3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2026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Mart</v>
      </c>
    </row>
    <row r="246" spans="4:7">
      <c r="D246" s="41"/>
      <c r="G246" s="44" t="str">
        <f>+CONCATENATE("Jan - ",LEFT(G245,3))</f>
        <v>Jan - Mar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Mar</v>
      </c>
      <c r="F254" s="6" t="str">
        <f>+CONCATENATE("Analytics for period ",G246)</f>
        <v>Analytics for period Jan - Mar</v>
      </c>
      <c r="G254" s="44" t="str">
        <f>+IF(ISBLANK(IF($B$2=1,E254,F254)),"",IF($B$2=1,E254,F254))</f>
        <v>Analitika za period Jan - Mar</v>
      </c>
    </row>
    <row r="255" spans="4:7">
      <c r="E255" s="5" t="str">
        <f>+CONCATENATE("Analitika za period ",G245)</f>
        <v>Analitika za period Mart</v>
      </c>
      <c r="F255" s="6" t="str">
        <f>+CONCATENATE("Analytics for period ",G245)</f>
        <v>Analytics for period Mart</v>
      </c>
      <c r="G255" s="44" t="str">
        <f>+IF(ISBLANK(IF($B$2=1,E255,F255)),"",IF($B$2=1,E255,F255))</f>
        <v>Analitika za period Mart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Mart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Mart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Mart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Mart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Mart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Mart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D20" sqref="D20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Mart</v>
      </c>
      <c r="G11" s="122" t="str">
        <f>+Master!G274</f>
        <v>Prihodi za period Januar - Mart</v>
      </c>
      <c r="J11" s="121"/>
    </row>
    <row r="12" spans="3:10">
      <c r="C12" s="120"/>
      <c r="D12" s="123">
        <f>+'Analitika 2026'!N10</f>
        <v>280717223.24000001</v>
      </c>
      <c r="E12" s="427">
        <f>+D12/'2026'!T7</f>
        <v>3.2776454620180744E-2</v>
      </c>
      <c r="G12" s="123">
        <f>+'Analitika 2026'!G10</f>
        <v>635352223.18000007</v>
      </c>
      <c r="H12" s="427">
        <f>+G12/'2026'!T7</f>
        <v>7.4183525579711848E-2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Mart</v>
      </c>
      <c r="G15" s="122" t="str">
        <f>+Master!G275</f>
        <v>Rashodi za period Januar - Mart</v>
      </c>
      <c r="J15" s="121"/>
    </row>
    <row r="16" spans="3:10">
      <c r="C16" s="120"/>
      <c r="D16" s="123">
        <f>+'Analitika 2026'!N29</f>
        <v>322978773.39000005</v>
      </c>
      <c r="E16" s="427">
        <f>+D16/'2026'!T7</f>
        <v>3.7710899912430242E-2</v>
      </c>
      <c r="G16" s="123">
        <f>+'Analitika 2026'!G29</f>
        <v>759395476.32999992</v>
      </c>
      <c r="H16" s="427">
        <f>+G16/'2026'!T7</f>
        <v>8.8666776770660621E-2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Mart</v>
      </c>
      <c r="G19" s="122" t="str">
        <f>+Master!G276</f>
        <v>Suficit/Deficit za period Januar - Mart</v>
      </c>
      <c r="J19" s="121"/>
    </row>
    <row r="20" spans="3:11">
      <c r="C20" s="120"/>
      <c r="D20" s="123">
        <f>+'Analitika 2026'!N53</f>
        <v>-42261550.150000036</v>
      </c>
      <c r="E20" s="427">
        <f>+D20/'2026'!T7</f>
        <v>-4.9344452922494963E-3</v>
      </c>
      <c r="G20" s="123">
        <f>+'Analitika 2026'!G53</f>
        <v>-124043253.14999998</v>
      </c>
      <c r="H20" s="563">
        <f>+G20/'2026'!T7</f>
        <v>-1.4483251190948787E-2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vV9qECX5ivXFY4Zm1ZV2hVq16WlZYW98QmD7UCv8ZPfq+shEpqRneJPu9LRI4LQZipDqGihHtoNqFP1pMjT1yg==" saltValue="qtD784mHtBzTOVRJJz/AG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2024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7459213000</v>
      </c>
    </row>
    <row r="8" spans="1:24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4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2024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7279700000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E5" sqref="E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2026-03</v>
      </c>
      <c r="O6" s="128" t="str">
        <f>+CONCATENATE(N6,"p")</f>
        <v>2026-03p</v>
      </c>
      <c r="P6" s="116"/>
      <c r="Q6" s="116"/>
      <c r="R6" s="128" t="str">
        <f>+IF(Master!B3-10&gt;=0,CONCATENATE(Master!B4-1,"-",Master!B3),CONCATENATE(Master!B4-1,"-0",Master!B3))</f>
        <v>2025-03</v>
      </c>
      <c r="S6" s="116"/>
      <c r="T6" s="116"/>
    </row>
    <row r="7" spans="1:25" ht="14.25" customHeight="1">
      <c r="A7" s="129"/>
      <c r="B7" s="570" t="str">
        <f>+Master!G254</f>
        <v>Analitika za period Jan - Mar</v>
      </c>
      <c r="C7" s="571"/>
      <c r="D7" s="571"/>
      <c r="E7" s="571"/>
      <c r="F7" s="571"/>
      <c r="G7" s="579" t="str">
        <f>+Master!G246</f>
        <v>Jan - Mar</v>
      </c>
      <c r="H7" s="580"/>
      <c r="I7" s="580"/>
      <c r="J7" s="580"/>
      <c r="K7" s="580"/>
      <c r="L7" s="580"/>
      <c r="M7" s="583"/>
      <c r="N7" s="580" t="str">
        <f>+Master!G245</f>
        <v>Mart</v>
      </c>
      <c r="O7" s="580"/>
      <c r="P7" s="580"/>
      <c r="Q7" s="580"/>
      <c r="R7" s="580"/>
      <c r="S7" s="580"/>
      <c r="T7" s="583"/>
    </row>
    <row r="8" spans="1:25" ht="29.25" customHeight="1">
      <c r="A8" s="129"/>
      <c r="B8" s="572"/>
      <c r="C8" s="573"/>
      <c r="D8" s="573"/>
      <c r="E8" s="573"/>
      <c r="F8" s="574"/>
      <c r="G8" s="487" t="str">
        <f>+Master!G26</f>
        <v>Ostvarenje</v>
      </c>
      <c r="H8" s="330" t="str">
        <f>+Master!G25</f>
        <v>Plan</v>
      </c>
      <c r="I8" s="566" t="str">
        <f>+Master!G261</f>
        <v>Odstupanje</v>
      </c>
      <c r="J8" s="566"/>
      <c r="K8" s="130" t="str">
        <f>+CONCATENATE(Master!G246," ",Master!B4-1)</f>
        <v>Jan - Mar 2025</v>
      </c>
      <c r="L8" s="566" t="str">
        <f>+I8</f>
        <v>Odstupanje</v>
      </c>
      <c r="M8" s="567"/>
      <c r="N8" s="487" t="str">
        <f>+G8</f>
        <v>Ostvarenje</v>
      </c>
      <c r="O8" s="130" t="str">
        <f>+H8</f>
        <v>Plan</v>
      </c>
      <c r="P8" s="566" t="str">
        <f>+I8</f>
        <v>Odstupanje</v>
      </c>
      <c r="Q8" s="566"/>
      <c r="R8" s="130" t="str">
        <f>+CONCATENATE(Master!G245," ",Master!B4-1)</f>
        <v>Mart 2025</v>
      </c>
      <c r="S8" s="566" t="str">
        <f>+P8</f>
        <v>Odstupanje</v>
      </c>
      <c r="T8" s="567"/>
    </row>
    <row r="9" spans="1:25" ht="15.75" thickBot="1">
      <c r="A9" s="129"/>
      <c r="B9" s="575"/>
      <c r="C9" s="576"/>
      <c r="D9" s="576"/>
      <c r="E9" s="576"/>
      <c r="F9" s="577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'2026'!S10</f>
        <v>635352223.18000007</v>
      </c>
      <c r="H10" s="136">
        <f>SUM('2026'!G86:I86)</f>
        <v>609371769.46194911</v>
      </c>
      <c r="I10" s="137">
        <f>+G10-H10</f>
        <v>25980453.718050957</v>
      </c>
      <c r="J10" s="139">
        <f>IF(+IF(ISERROR(G10/H10),"…",G10/H10-1)&gt;200%,"...",IF(ISERROR(G10/H10),"…",G10/H10-1))</f>
        <v>4.2634816740839021E-2</v>
      </c>
      <c r="K10" s="136">
        <f>SUM('2025'!G10:I10)</f>
        <v>580450481.09000003</v>
      </c>
      <c r="L10" s="137">
        <f>+G10-K10</f>
        <v>54901742.090000033</v>
      </c>
      <c r="M10" s="141">
        <f>IF(+IF(ISERROR(G10/K10),"…",G10/K10-1)&gt;200%,"...",IF(ISERROR(G10/K10),"…",G10/K10-1))</f>
        <v>9.4584712871462751E-2</v>
      </c>
      <c r="N10" s="136">
        <f>'2026'!I10</f>
        <v>280717223.24000001</v>
      </c>
      <c r="O10" s="136">
        <f>'2026'!I86</f>
        <v>276348555.9319492</v>
      </c>
      <c r="P10" s="137">
        <f>+N10-O10</f>
        <v>4368667.3080508113</v>
      </c>
      <c r="Q10" s="139">
        <f>IF(+IF(ISERROR(N10/O10),"…",N10/O10-1)&gt;200%,"...",IF(ISERROR(N10/O10),"…",N10/O10-1))</f>
        <v>1.5808540389574466E-2</v>
      </c>
      <c r="R10" s="136">
        <f>'2025'!I10</f>
        <v>245353494.29000005</v>
      </c>
      <c r="S10" s="137">
        <f>+N10-R10</f>
        <v>35363728.949999958</v>
      </c>
      <c r="T10" s="141">
        <f>IF(+IF(ISERROR(N10/R10),"…",N10/R10-1)&gt;200%,"...",IF(ISERROR(N10/R10),"…",N10/R10-1))</f>
        <v>0.14413378970751944</v>
      </c>
      <c r="U10" s="560"/>
      <c r="W10" s="470"/>
      <c r="Y10" s="470"/>
    </row>
    <row r="11" spans="1:25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262">
        <f>'2026'!S11</f>
        <v>511527417.96000004</v>
      </c>
      <c r="H11" s="262">
        <f>SUM('2026'!G87:I87)</f>
        <v>490323762.6844005</v>
      </c>
      <c r="I11" s="143">
        <f t="shared" ref="I11:I57" si="0">+G11-H11</f>
        <v>21203655.275599539</v>
      </c>
      <c r="J11" s="145">
        <f t="shared" ref="J11:J66" si="1">IF(+IF(ISERROR(G11/H11-1),"…",G11/H11-1)&gt;200%,"...",IF(ISERROR(G11/H11-1),"…",G11/H11-1))</f>
        <v>4.3244192693241645E-2</v>
      </c>
      <c r="K11" s="262">
        <f>SUM('2025'!G11:I11)</f>
        <v>469877904.24000007</v>
      </c>
      <c r="L11" s="143">
        <f>+G11-K11</f>
        <v>41649513.719999969</v>
      </c>
      <c r="M11" s="147">
        <f t="shared" ref="M11:M66" si="2">IF(+IF(ISERROR(G11/K11),"…",G11/K11-1)&gt;200%,"...",IF(ISERROR(G11/K11),"…",G11/K11-1))</f>
        <v>8.8639013122708166E-2</v>
      </c>
      <c r="N11" s="262">
        <f>'2026'!I11</f>
        <v>229093563.00000003</v>
      </c>
      <c r="O11" s="262">
        <f>'2026'!I87</f>
        <v>223279236.3044005</v>
      </c>
      <c r="P11" s="143">
        <f>+N11-O11</f>
        <v>5814326.6955995262</v>
      </c>
      <c r="Q11" s="145">
        <f t="shared" ref="Q11:Q66" si="3">IF(+IF(ISERROR(N11/O11),"…",N11/O11-1)&gt;200%,"...",IF(ISERROR(N11/O11),"…",N11/O11-1))</f>
        <v>2.6040606335972827E-2</v>
      </c>
      <c r="R11" s="262">
        <f>'2025'!I11</f>
        <v>202518041.18000007</v>
      </c>
      <c r="S11" s="143">
        <f t="shared" ref="S11:S57" si="4">+N11-R11</f>
        <v>26575521.819999963</v>
      </c>
      <c r="T11" s="147">
        <f t="shared" ref="T11:T66" si="5">IF(+IF(ISERROR(N11/R11),"…",N11/R11-1)&gt;200%,"...",IF(ISERROR(N11/R11),"…",N11/R11-1))</f>
        <v>0.13122545361960802</v>
      </c>
      <c r="W11" s="470"/>
      <c r="Y11" s="470"/>
    </row>
    <row r="12" spans="1:25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f>'2026'!S12</f>
        <v>19892952.199999999</v>
      </c>
      <c r="H12" s="148">
        <f>SUM('2026'!G88:I88)</f>
        <v>20188685.177822601</v>
      </c>
      <c r="I12" s="149">
        <f t="shared" si="0"/>
        <v>-295732.9778226018</v>
      </c>
      <c r="J12" s="151">
        <f t="shared" si="1"/>
        <v>-1.4648451606321888E-2</v>
      </c>
      <c r="K12" s="148">
        <f>SUM('2025'!G12:I12)</f>
        <v>20284850.600000009</v>
      </c>
      <c r="L12" s="149">
        <f>+G12-K12</f>
        <v>-391898.40000000969</v>
      </c>
      <c r="M12" s="153">
        <f t="shared" si="2"/>
        <v>-1.9319757770363322E-2</v>
      </c>
      <c r="N12" s="148">
        <f>'2026'!I12</f>
        <v>8405638.6799999997</v>
      </c>
      <c r="O12" s="148">
        <f>'2026'!I88</f>
        <v>9541593.2978226002</v>
      </c>
      <c r="P12" s="149">
        <f t="shared" ref="P12:P57" si="6">+N12-O12</f>
        <v>-1135954.6178226005</v>
      </c>
      <c r="Q12" s="151">
        <f t="shared" si="3"/>
        <v>-0.1190529277832274</v>
      </c>
      <c r="R12" s="148">
        <f>'2025'!I12</f>
        <v>8822636.5500000045</v>
      </c>
      <c r="S12" s="149">
        <f t="shared" si="4"/>
        <v>-416997.87000000477</v>
      </c>
      <c r="T12" s="153">
        <f t="shared" si="5"/>
        <v>-4.7264541346203837E-2</v>
      </c>
      <c r="W12" s="470"/>
      <c r="Y12" s="470"/>
    </row>
    <row r="13" spans="1:25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f>'2026'!S13</f>
        <v>87451333.409999996</v>
      </c>
      <c r="H13" s="148">
        <f>SUM('2026'!G89:I89)</f>
        <v>87946481.54136841</v>
      </c>
      <c r="I13" s="149">
        <f t="shared" si="0"/>
        <v>-495148.13136841357</v>
      </c>
      <c r="J13" s="151">
        <f t="shared" si="1"/>
        <v>-5.6301073413096425E-3</v>
      </c>
      <c r="K13" s="148">
        <f>SUM('2025'!G13:I13)</f>
        <v>78199473.930000007</v>
      </c>
      <c r="L13" s="149">
        <f t="shared" ref="L13:L57" si="7">+G13-K13</f>
        <v>9251859.4799999893</v>
      </c>
      <c r="M13" s="153">
        <f t="shared" si="2"/>
        <v>0.11831101943577993</v>
      </c>
      <c r="N13" s="148">
        <f>'2026'!I13</f>
        <v>80663211.329999998</v>
      </c>
      <c r="O13" s="148">
        <f>'2026'!I89</f>
        <v>82413361.451368406</v>
      </c>
      <c r="P13" s="149">
        <f t="shared" si="6"/>
        <v>-1750150.1213684082</v>
      </c>
      <c r="Q13" s="151">
        <f t="shared" si="3"/>
        <v>-2.1236242407138839E-2</v>
      </c>
      <c r="R13" s="148">
        <f>'2025'!I13</f>
        <v>69066545.550000012</v>
      </c>
      <c r="S13" s="149">
        <f t="shared" si="4"/>
        <v>11596665.779999986</v>
      </c>
      <c r="T13" s="153">
        <f t="shared" si="5"/>
        <v>0.16790568701028641</v>
      </c>
      <c r="W13" s="470"/>
      <c r="Y13" s="470"/>
    </row>
    <row r="14" spans="1:25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f>'2026'!S14</f>
        <v>0</v>
      </c>
      <c r="H14" s="148">
        <f>SUM('2026'!G90:I90)</f>
        <v>0</v>
      </c>
      <c r="I14" s="149">
        <f t="shared" si="0"/>
        <v>0</v>
      </c>
      <c r="J14" s="151" t="str">
        <f t="shared" si="1"/>
        <v>...</v>
      </c>
      <c r="K14" s="148">
        <f>SUM('2025'!G14:I14)</f>
        <v>0</v>
      </c>
      <c r="L14" s="149">
        <f t="shared" si="7"/>
        <v>0</v>
      </c>
      <c r="M14" s="153" t="str">
        <f t="shared" si="2"/>
        <v>...</v>
      </c>
      <c r="N14" s="148">
        <f>'2026'!I14</f>
        <v>0</v>
      </c>
      <c r="O14" s="148">
        <f>'2026'!I90</f>
        <v>0</v>
      </c>
      <c r="P14" s="149">
        <f t="shared" si="6"/>
        <v>0</v>
      </c>
      <c r="Q14" s="151" t="str">
        <f t="shared" si="3"/>
        <v>...</v>
      </c>
      <c r="R14" s="148">
        <f>'2025'!I14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f>'2026'!S15</f>
        <v>302497412.24000001</v>
      </c>
      <c r="H15" s="148">
        <f>SUM('2026'!G91:I91)</f>
        <v>290192253.07494098</v>
      </c>
      <c r="I15" s="149">
        <f t="shared" si="0"/>
        <v>12305159.16505903</v>
      </c>
      <c r="J15" s="151">
        <f t="shared" si="1"/>
        <v>4.2403472300417633E-2</v>
      </c>
      <c r="K15" s="148">
        <f>SUM('2025'!G15:I15)</f>
        <v>282283626.22000003</v>
      </c>
      <c r="L15" s="149">
        <f t="shared" si="7"/>
        <v>20213786.019999981</v>
      </c>
      <c r="M15" s="153">
        <f t="shared" si="2"/>
        <v>7.1608071253294048E-2</v>
      </c>
      <c r="N15" s="148">
        <f>'2026'!I15</f>
        <v>101930830.29000001</v>
      </c>
      <c r="O15" s="148">
        <f>'2026'!I91</f>
        <v>100722981.744941</v>
      </c>
      <c r="P15" s="149">
        <f t="shared" si="6"/>
        <v>1207848.5450590104</v>
      </c>
      <c r="Q15" s="151">
        <f t="shared" si="3"/>
        <v>1.1991787019546507E-2</v>
      </c>
      <c r="R15" s="148">
        <f>'2025'!I15</f>
        <v>95190601.359999999</v>
      </c>
      <c r="S15" s="149">
        <f t="shared" si="4"/>
        <v>6740228.9300000072</v>
      </c>
      <c r="T15" s="153">
        <f t="shared" si="5"/>
        <v>7.0807714561117452E-2</v>
      </c>
      <c r="W15" s="470"/>
      <c r="Y15" s="470"/>
    </row>
    <row r="16" spans="1:25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f>'2026'!S16</f>
        <v>83214372.719999999</v>
      </c>
      <c r="H16" s="148">
        <f>SUM('2026'!G92:I92)</f>
        <v>75106398.060260206</v>
      </c>
      <c r="I16" s="149">
        <f t="shared" si="0"/>
        <v>8107974.6597397923</v>
      </c>
      <c r="J16" s="151">
        <f t="shared" si="1"/>
        <v>0.10795318200767001</v>
      </c>
      <c r="K16" s="148">
        <f>SUM('2025'!G16:I16)</f>
        <v>71465174.910000026</v>
      </c>
      <c r="L16" s="149">
        <f t="shared" si="7"/>
        <v>11749197.809999973</v>
      </c>
      <c r="M16" s="153">
        <f t="shared" si="2"/>
        <v>0.16440452045064435</v>
      </c>
      <c r="N16" s="148">
        <f>'2026'!I16</f>
        <v>30174874.149999999</v>
      </c>
      <c r="O16" s="148">
        <f>'2026'!I92</f>
        <v>23470631.970260199</v>
      </c>
      <c r="P16" s="149">
        <f t="shared" si="6"/>
        <v>6704242.1797397994</v>
      </c>
      <c r="Q16" s="151">
        <f t="shared" si="3"/>
        <v>0.28564387138083003</v>
      </c>
      <c r="R16" s="148">
        <f>'2025'!I16</f>
        <v>22396675.60000002</v>
      </c>
      <c r="S16" s="149">
        <f t="shared" si="4"/>
        <v>7778198.5499999784</v>
      </c>
      <c r="T16" s="153">
        <f t="shared" si="5"/>
        <v>0.34729254863163583</v>
      </c>
      <c r="W16" s="470"/>
      <c r="Y16" s="470"/>
    </row>
    <row r="17" spans="1:25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f>'2026'!S17</f>
        <v>14832320.560000001</v>
      </c>
      <c r="H17" s="148">
        <f>SUM('2026'!G93:I93)</f>
        <v>13264511.25623361</v>
      </c>
      <c r="I17" s="149">
        <f t="shared" si="0"/>
        <v>1567809.3037663903</v>
      </c>
      <c r="J17" s="151">
        <f t="shared" si="1"/>
        <v>0.11819578373304962</v>
      </c>
      <c r="K17" s="148">
        <f>SUM('2025'!G17:I17)</f>
        <v>14161078.309999999</v>
      </c>
      <c r="L17" s="149">
        <f t="shared" si="7"/>
        <v>671242.25000000186</v>
      </c>
      <c r="M17" s="153">
        <f t="shared" si="2"/>
        <v>4.7400504065145732E-2</v>
      </c>
      <c r="N17" s="148">
        <f>'2026'!I17</f>
        <v>6598848.7800000003</v>
      </c>
      <c r="O17" s="148">
        <f>'2026'!I93</f>
        <v>5730378.2462336114</v>
      </c>
      <c r="P17" s="149">
        <f t="shared" si="6"/>
        <v>868470.53376638889</v>
      </c>
      <c r="Q17" s="151">
        <f>IF(+IF(ISERROR(N17/O17),"…",N17/O17-1)&gt;200%,"...",IF(ISERROR(N17/O17),"…",N17/O17-1))</f>
        <v>0.15155553376205244</v>
      </c>
      <c r="R17" s="148">
        <f>'2025'!I17</f>
        <v>5839125.4399999976</v>
      </c>
      <c r="S17" s="149">
        <f t="shared" si="4"/>
        <v>759723.34000000264</v>
      </c>
      <c r="T17" s="153">
        <f t="shared" si="5"/>
        <v>0.13010909729659836</v>
      </c>
      <c r="W17" s="470"/>
      <c r="Y17" s="470"/>
    </row>
    <row r="18" spans="1:25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f>'2026'!S18</f>
        <v>3639026.8299999996</v>
      </c>
      <c r="H18" s="148">
        <f>SUM('2026'!G94:I94)</f>
        <v>3625433.5737747122</v>
      </c>
      <c r="I18" s="149">
        <f t="shared" si="0"/>
        <v>13593.256225287449</v>
      </c>
      <c r="J18" s="151">
        <f t="shared" si="1"/>
        <v>3.7494153316217638E-3</v>
      </c>
      <c r="K18" s="148">
        <f>SUM('2025'!G18:I18)</f>
        <v>3483700.2700000005</v>
      </c>
      <c r="L18" s="149">
        <f t="shared" si="7"/>
        <v>155326.55999999912</v>
      </c>
      <c r="M18" s="153">
        <f t="shared" si="2"/>
        <v>4.4586660149152024E-2</v>
      </c>
      <c r="N18" s="148">
        <f>'2026'!I18</f>
        <v>1320159.77</v>
      </c>
      <c r="O18" s="148">
        <f>'2026'!I94</f>
        <v>1400289.5937747119</v>
      </c>
      <c r="P18" s="149">
        <f t="shared" si="6"/>
        <v>-80129.823774711927</v>
      </c>
      <c r="Q18" s="151">
        <f t="shared" si="3"/>
        <v>-5.7223751523217903E-2</v>
      </c>
      <c r="R18" s="148">
        <f>'2025'!I18</f>
        <v>1202456.6800000004</v>
      </c>
      <c r="S18" s="149">
        <f t="shared" si="4"/>
        <v>117703.08999999962</v>
      </c>
      <c r="T18" s="153">
        <f t="shared" si="5"/>
        <v>9.7885513846535988E-2</v>
      </c>
      <c r="W18" s="470"/>
      <c r="Y18" s="470"/>
    </row>
    <row r="19" spans="1:25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'2026'!S19</f>
        <v>91826048.879999995</v>
      </c>
      <c r="H19" s="154">
        <f>SUM('2026'!G95:I95)</f>
        <v>87075041.992000178</v>
      </c>
      <c r="I19" s="155">
        <f t="shared" si="0"/>
        <v>4751006.8879998177</v>
      </c>
      <c r="J19" s="157">
        <f t="shared" si="1"/>
        <v>5.4562211849823905E-2</v>
      </c>
      <c r="K19" s="154">
        <f>SUM('2025'!G19:I19)</f>
        <v>84400571.599999994</v>
      </c>
      <c r="L19" s="155">
        <f t="shared" si="7"/>
        <v>7425477.2800000012</v>
      </c>
      <c r="M19" s="159">
        <f t="shared" si="2"/>
        <v>8.7978992786821308E-2</v>
      </c>
      <c r="N19" s="154">
        <f>'2026'!I19</f>
        <v>40463891.399999999</v>
      </c>
      <c r="O19" s="154">
        <f>'2026'!I95</f>
        <v>38122272.682000183</v>
      </c>
      <c r="P19" s="155">
        <f t="shared" si="6"/>
        <v>2341618.7179998159</v>
      </c>
      <c r="Q19" s="157">
        <f t="shared" si="3"/>
        <v>6.1423901390470714E-2</v>
      </c>
      <c r="R19" s="154">
        <f>'2025'!I19</f>
        <v>32433143.130000003</v>
      </c>
      <c r="S19" s="155">
        <f t="shared" si="4"/>
        <v>8030748.2699999958</v>
      </c>
      <c r="T19" s="159">
        <f t="shared" si="5"/>
        <v>0.24760931241880524</v>
      </c>
      <c r="W19" s="470"/>
      <c r="Y19" s="470"/>
    </row>
    <row r="20" spans="1:25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f>'2026'!S20</f>
        <v>80897763.019999996</v>
      </c>
      <c r="H20" s="148">
        <f>SUM('2026'!G96:I96)</f>
        <v>77412496.339532882</v>
      </c>
      <c r="I20" s="149">
        <f t="shared" si="0"/>
        <v>3485266.6804671139</v>
      </c>
      <c r="J20" s="151">
        <f t="shared" si="1"/>
        <v>4.5022016409090648E-2</v>
      </c>
      <c r="K20" s="148">
        <f>SUM('2025'!G20:I20)</f>
        <v>71292915.480000004</v>
      </c>
      <c r="L20" s="149">
        <f t="shared" si="7"/>
        <v>9604847.5399999917</v>
      </c>
      <c r="M20" s="153">
        <f t="shared" si="2"/>
        <v>0.13472373061660625</v>
      </c>
      <c r="N20" s="148">
        <f>'2026'!I20</f>
        <v>35392781.869999997</v>
      </c>
      <c r="O20" s="148">
        <f>'2026'!I96</f>
        <v>33834822.429532893</v>
      </c>
      <c r="P20" s="149">
        <f t="shared" si="6"/>
        <v>1557959.4404671043</v>
      </c>
      <c r="Q20" s="151">
        <f t="shared" si="3"/>
        <v>4.6046035669666585E-2</v>
      </c>
      <c r="R20" s="148">
        <f>'2025'!I20</f>
        <v>27476313.780000001</v>
      </c>
      <c r="S20" s="149">
        <f t="shared" si="4"/>
        <v>7916468.0899999961</v>
      </c>
      <c r="T20" s="153">
        <f t="shared" si="5"/>
        <v>0.28811972935621344</v>
      </c>
      <c r="W20" s="470"/>
      <c r="Y20" s="470"/>
    </row>
    <row r="21" spans="1:25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f>'2026'!S21</f>
        <v>655905.65999999992</v>
      </c>
      <c r="H21" s="148">
        <f>SUM('2026'!G97:I97)</f>
        <v>743802.66694443009</v>
      </c>
      <c r="I21" s="149">
        <f t="shared" si="0"/>
        <v>-87897.006944430177</v>
      </c>
      <c r="J21" s="151">
        <f t="shared" si="1"/>
        <v>-0.11817248156088822</v>
      </c>
      <c r="K21" s="148">
        <f>SUM('2025'!G21:I21)</f>
        <v>2052790.2799999993</v>
      </c>
      <c r="L21" s="149">
        <f t="shared" si="7"/>
        <v>-1396884.6199999994</v>
      </c>
      <c r="M21" s="153">
        <f t="shared" si="2"/>
        <v>-0.68048092082743095</v>
      </c>
      <c r="N21" s="148">
        <f>'2026'!I21</f>
        <v>291709.40999999997</v>
      </c>
      <c r="O21" s="148">
        <f>'2026'!I97</f>
        <v>416686.55694443011</v>
      </c>
      <c r="P21" s="149">
        <f t="shared" si="6"/>
        <v>-124977.14694443013</v>
      </c>
      <c r="Q21" s="151">
        <f t="shared" si="3"/>
        <v>-0.29993083496835071</v>
      </c>
      <c r="R21" s="148">
        <f>'2025'!I21</f>
        <v>583561.46999999939</v>
      </c>
      <c r="S21" s="149">
        <f t="shared" si="4"/>
        <v>-291852.05999999942</v>
      </c>
      <c r="T21" s="153">
        <f t="shared" si="5"/>
        <v>-0.50012222362795766</v>
      </c>
      <c r="W21" s="470"/>
      <c r="Y21" s="470"/>
    </row>
    <row r="22" spans="1:25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f>'2026'!S22</f>
        <v>5939843.5800000001</v>
      </c>
      <c r="H22" s="148">
        <f>SUM('2026'!G98:I98)</f>
        <v>4993550.0414873669</v>
      </c>
      <c r="I22" s="149">
        <f t="shared" si="0"/>
        <v>946293.53851263318</v>
      </c>
      <c r="J22" s="151">
        <f t="shared" si="1"/>
        <v>0.18950316521325417</v>
      </c>
      <c r="K22" s="148">
        <f>SUM('2025'!G22:I22)</f>
        <v>6548209.3300000001</v>
      </c>
      <c r="L22" s="149">
        <f t="shared" si="7"/>
        <v>-608365.75</v>
      </c>
      <c r="M22" s="153">
        <f t="shared" si="2"/>
        <v>-9.2905666166295253E-2</v>
      </c>
      <c r="N22" s="148">
        <f>'2026'!I22</f>
        <v>2779991.63</v>
      </c>
      <c r="O22" s="148">
        <f>'2026'!I98</f>
        <v>2071452.0414873669</v>
      </c>
      <c r="P22" s="149">
        <f t="shared" si="6"/>
        <v>708539.588512633</v>
      </c>
      <c r="Q22" s="151">
        <f t="shared" si="3"/>
        <v>0.34204971890340241</v>
      </c>
      <c r="R22" s="148">
        <f>'2025'!I22</f>
        <v>2567338.7400000002</v>
      </c>
      <c r="S22" s="149">
        <f t="shared" si="4"/>
        <v>212652.88999999966</v>
      </c>
      <c r="T22" s="153">
        <f t="shared" si="5"/>
        <v>8.2830086535444769E-2</v>
      </c>
      <c r="W22" s="470"/>
      <c r="Y22" s="470"/>
    </row>
    <row r="23" spans="1:25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f>'2026'!S23</f>
        <v>4332536.62</v>
      </c>
      <c r="H23" s="148">
        <f>SUM('2026'!G99:I99)</f>
        <v>3925192.9440354947</v>
      </c>
      <c r="I23" s="149">
        <f t="shared" si="0"/>
        <v>407343.67596450541</v>
      </c>
      <c r="J23" s="151">
        <f t="shared" si="1"/>
        <v>0.10377672684434081</v>
      </c>
      <c r="K23" s="148">
        <f>SUM('2025'!G23:I23)</f>
        <v>4506656.51</v>
      </c>
      <c r="L23" s="149">
        <f t="shared" si="7"/>
        <v>-174119.88999999966</v>
      </c>
      <c r="M23" s="153">
        <f t="shared" si="2"/>
        <v>-3.863615734051129E-2</v>
      </c>
      <c r="N23" s="148">
        <f>'2026'!I23</f>
        <v>1999408.49</v>
      </c>
      <c r="O23" s="148">
        <f>'2026'!I99</f>
        <v>1799311.6540354949</v>
      </c>
      <c r="P23" s="149">
        <f t="shared" si="6"/>
        <v>200096.8359645051</v>
      </c>
      <c r="Q23" s="151">
        <f t="shared" si="3"/>
        <v>0.11120743619690798</v>
      </c>
      <c r="R23" s="148">
        <f>'2025'!I23</f>
        <v>1805929.1400000001</v>
      </c>
      <c r="S23" s="149">
        <f t="shared" si="4"/>
        <v>193479.34999999986</v>
      </c>
      <c r="T23" s="153">
        <f t="shared" si="5"/>
        <v>0.10713562659496145</v>
      </c>
      <c r="W23" s="470"/>
      <c r="Y23" s="470"/>
    </row>
    <row r="24" spans="1:25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f>'2026'!S24</f>
        <v>2981434.32</v>
      </c>
      <c r="H24" s="160">
        <f>SUM('2026'!G100:I100)</f>
        <v>2987261.127391275</v>
      </c>
      <c r="I24" s="161">
        <f t="shared" si="0"/>
        <v>-5826.8073912751861</v>
      </c>
      <c r="J24" s="163">
        <f t="shared" si="1"/>
        <v>-1.9505517404712069E-3</v>
      </c>
      <c r="K24" s="160">
        <f>SUM('2025'!G24:I24)</f>
        <v>3036510.51</v>
      </c>
      <c r="L24" s="161">
        <f t="shared" si="7"/>
        <v>-55076.189999999944</v>
      </c>
      <c r="M24" s="165">
        <f t="shared" si="2"/>
        <v>-1.8137987607360517E-2</v>
      </c>
      <c r="N24" s="160">
        <f>'2026'!I24</f>
        <v>1169824.44</v>
      </c>
      <c r="O24" s="160">
        <f>'2026'!I100</f>
        <v>1354982.5073912749</v>
      </c>
      <c r="P24" s="161">
        <f t="shared" si="6"/>
        <v>-185158.06739127496</v>
      </c>
      <c r="Q24" s="163">
        <f t="shared" si="3"/>
        <v>-0.13664978431917674</v>
      </c>
      <c r="R24" s="160">
        <f>'2025'!I24</f>
        <v>1107384.3999999997</v>
      </c>
      <c r="S24" s="161">
        <f t="shared" si="4"/>
        <v>62440.04000000027</v>
      </c>
      <c r="T24" s="165">
        <f t="shared" si="5"/>
        <v>5.6385154062130738E-2</v>
      </c>
      <c r="W24" s="470"/>
      <c r="Y24" s="470"/>
    </row>
    <row r="25" spans="1:25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f>'2026'!S25</f>
        <v>16120889.17</v>
      </c>
      <c r="H25" s="160">
        <f>SUM('2026'!G101:I101)</f>
        <v>16828744.077989362</v>
      </c>
      <c r="I25" s="161">
        <f t="shared" si="0"/>
        <v>-707854.90798936225</v>
      </c>
      <c r="J25" s="163">
        <f t="shared" si="1"/>
        <v>-4.2062254004752497E-2</v>
      </c>
      <c r="K25" s="160">
        <f>SUM('2025'!G25:I25)</f>
        <v>12153972.059999999</v>
      </c>
      <c r="L25" s="161">
        <f t="shared" si="7"/>
        <v>3966917.1100000013</v>
      </c>
      <c r="M25" s="165">
        <f t="shared" si="2"/>
        <v>0.32638853293529801</v>
      </c>
      <c r="N25" s="160">
        <f>'2026'!I25</f>
        <v>5367759.75</v>
      </c>
      <c r="O25" s="160">
        <f>'2026'!I101</f>
        <v>6367290.5879893601</v>
      </c>
      <c r="P25" s="161">
        <f t="shared" si="6"/>
        <v>-999530.83798936009</v>
      </c>
      <c r="Q25" s="163">
        <f t="shared" si="3"/>
        <v>-0.15697898881429695</v>
      </c>
      <c r="R25" s="160">
        <f>'2025'!I25</f>
        <v>4383671.12</v>
      </c>
      <c r="S25" s="161">
        <f t="shared" si="4"/>
        <v>984088.62999999989</v>
      </c>
      <c r="T25" s="165">
        <f t="shared" si="5"/>
        <v>0.22448961225905095</v>
      </c>
      <c r="W25" s="470"/>
      <c r="Y25" s="470"/>
    </row>
    <row r="26" spans="1:25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f>'2026'!S26</f>
        <v>9788121.370000001</v>
      </c>
      <c r="H26" s="160">
        <f>SUM('2026'!G102:I102)</f>
        <v>8026010.510167893</v>
      </c>
      <c r="I26" s="161">
        <f t="shared" si="0"/>
        <v>1762110.859832108</v>
      </c>
      <c r="J26" s="163">
        <f t="shared" si="1"/>
        <v>0.21955003143837737</v>
      </c>
      <c r="K26" s="160">
        <f>SUM('2025'!G26:I26)</f>
        <v>8110815.1099999985</v>
      </c>
      <c r="L26" s="161">
        <f t="shared" si="7"/>
        <v>1677306.2600000026</v>
      </c>
      <c r="M26" s="165">
        <f t="shared" si="2"/>
        <v>0.20679872950525224</v>
      </c>
      <c r="N26" s="160">
        <f>'2026'!I26</f>
        <v>4140726.96</v>
      </c>
      <c r="O26" s="160">
        <f>'2026'!I102</f>
        <v>4224773.8501678938</v>
      </c>
      <c r="P26" s="161">
        <f t="shared" si="6"/>
        <v>-84046.890167893842</v>
      </c>
      <c r="Q26" s="163">
        <f t="shared" si="3"/>
        <v>-1.9893819917616185E-2</v>
      </c>
      <c r="R26" s="160">
        <f>'2025'!I26</f>
        <v>2893396.9999999991</v>
      </c>
      <c r="S26" s="161">
        <f t="shared" si="4"/>
        <v>1247329.9600000009</v>
      </c>
      <c r="T26" s="165">
        <f t="shared" si="5"/>
        <v>0.43109533880072504</v>
      </c>
      <c r="W26" s="470"/>
      <c r="Y26" s="470"/>
    </row>
    <row r="27" spans="1:25" hidden="1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f>'2026'!S27</f>
        <v>0</v>
      </c>
      <c r="H27" s="160">
        <f>SUM('2026'!G103:I103)</f>
        <v>0</v>
      </c>
      <c r="I27" s="161">
        <f t="shared" si="0"/>
        <v>0</v>
      </c>
      <c r="J27" s="163" t="str">
        <f t="shared" si="1"/>
        <v>...</v>
      </c>
      <c r="K27" s="160">
        <f>SUM('2025'!G27:I27)</f>
        <v>0</v>
      </c>
      <c r="L27" s="161">
        <f t="shared" si="7"/>
        <v>0</v>
      </c>
      <c r="M27" s="165" t="str">
        <f t="shared" si="2"/>
        <v>...</v>
      </c>
      <c r="N27" s="160">
        <f>'2026'!I27</f>
        <v>0</v>
      </c>
      <c r="O27" s="160">
        <f>'2026'!I103</f>
        <v>0</v>
      </c>
      <c r="P27" s="161">
        <f t="shared" si="6"/>
        <v>0</v>
      </c>
      <c r="Q27" s="163" t="str">
        <f t="shared" si="3"/>
        <v>...</v>
      </c>
      <c r="R27" s="160">
        <f>'2025'!I27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f>'2026'!S28</f>
        <v>3108311.4799999995</v>
      </c>
      <c r="H28" s="160">
        <f>SUM('2026'!G104:I104)</f>
        <v>4130949.0700000003</v>
      </c>
      <c r="I28" s="161">
        <f t="shared" si="0"/>
        <v>-1022637.5900000008</v>
      </c>
      <c r="J28" s="163">
        <f t="shared" si="1"/>
        <v>-0.24755511933726182</v>
      </c>
      <c r="K28" s="160">
        <f>SUM('2025'!G28:I28)</f>
        <v>2870707.5700000003</v>
      </c>
      <c r="L28" s="161">
        <f t="shared" si="7"/>
        <v>237603.90999999922</v>
      </c>
      <c r="M28" s="165">
        <f t="shared" si="2"/>
        <v>8.2768413085000825E-2</v>
      </c>
      <c r="N28" s="160">
        <f>'2026'!I28</f>
        <v>481457.69</v>
      </c>
      <c r="O28" s="160">
        <f>'2026'!I104</f>
        <v>3000000</v>
      </c>
      <c r="P28" s="161">
        <f t="shared" si="6"/>
        <v>-2518542.31</v>
      </c>
      <c r="Q28" s="163">
        <f t="shared" si="3"/>
        <v>-0.83951410333333332</v>
      </c>
      <c r="R28" s="160">
        <f>'2025'!I28</f>
        <v>2017857.4600000002</v>
      </c>
      <c r="S28" s="161">
        <f t="shared" si="4"/>
        <v>-1536399.7700000003</v>
      </c>
      <c r="T28" s="165">
        <f t="shared" si="5"/>
        <v>-0.76140153626113904</v>
      </c>
      <c r="W28" s="470"/>
      <c r="Y28" s="470"/>
    </row>
    <row r="29" spans="1:25" ht="15.7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'2026'!S29</f>
        <v>759395476.32999992</v>
      </c>
      <c r="H29" s="136">
        <f>SUM('2026'!G105:I105)</f>
        <v>829830032.94000018</v>
      </c>
      <c r="I29" s="137">
        <f t="shared" si="0"/>
        <v>-70434556.610000253</v>
      </c>
      <c r="J29" s="139">
        <f t="shared" si="1"/>
        <v>-8.4878292920368303E-2</v>
      </c>
      <c r="K29" s="136">
        <f>SUM('2025'!G29:I29)</f>
        <v>645645836.00999999</v>
      </c>
      <c r="L29" s="137">
        <f t="shared" si="7"/>
        <v>113749640.31999993</v>
      </c>
      <c r="M29" s="141">
        <f t="shared" si="2"/>
        <v>0.17617962352697369</v>
      </c>
      <c r="N29" s="136">
        <f>'2026'!I29</f>
        <v>322978773.39000005</v>
      </c>
      <c r="O29" s="136">
        <f>'2026'!I105</f>
        <v>302853997.67000008</v>
      </c>
      <c r="P29" s="137">
        <f t="shared" si="6"/>
        <v>20124775.719999969</v>
      </c>
      <c r="Q29" s="139">
        <f t="shared" si="3"/>
        <v>6.6450421242015834E-2</v>
      </c>
      <c r="R29" s="136">
        <f>'2025'!I29</f>
        <v>278509462.04000002</v>
      </c>
      <c r="S29" s="137">
        <f t="shared" si="4"/>
        <v>44469311.350000024</v>
      </c>
      <c r="T29" s="141">
        <f t="shared" si="5"/>
        <v>0.15966894275072518</v>
      </c>
      <c r="V29" s="470"/>
      <c r="W29" s="470"/>
      <c r="Y29" s="470"/>
    </row>
    <row r="30" spans="1:25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294">
        <f>'2026'!S30</f>
        <v>310529628.81000006</v>
      </c>
      <c r="H30" s="294">
        <f>SUM('2026'!G106:I106)</f>
        <v>305345038.07000005</v>
      </c>
      <c r="I30" s="173">
        <f t="shared" si="0"/>
        <v>5184590.7400000095</v>
      </c>
      <c r="J30" s="556">
        <f t="shared" si="1"/>
        <v>1.6979449781697298E-2</v>
      </c>
      <c r="K30" s="294">
        <f>SUM('2025'!G30:I30)</f>
        <v>248108597.40000004</v>
      </c>
      <c r="L30" s="173">
        <f t="shared" si="7"/>
        <v>62421031.410000026</v>
      </c>
      <c r="M30" s="177">
        <f t="shared" si="2"/>
        <v>0.25158753894112351</v>
      </c>
      <c r="N30" s="294">
        <f>'2026'!I30</f>
        <v>151041833.07000002</v>
      </c>
      <c r="O30" s="294">
        <f>'2026'!I106</f>
        <v>114671179.71000004</v>
      </c>
      <c r="P30" s="173">
        <f t="shared" si="6"/>
        <v>36370653.359999985</v>
      </c>
      <c r="Q30" s="175">
        <f t="shared" si="3"/>
        <v>0.31717344717286666</v>
      </c>
      <c r="R30" s="294">
        <f>'2025'!I30</f>
        <v>110896202.17000002</v>
      </c>
      <c r="S30" s="173">
        <f t="shared" si="4"/>
        <v>40145630.900000006</v>
      </c>
      <c r="T30" s="177">
        <f t="shared" si="5"/>
        <v>0.36201087245943864</v>
      </c>
      <c r="W30" s="470"/>
      <c r="Y30" s="470"/>
    </row>
    <row r="31" spans="1:25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f>'2026'!S31</f>
        <v>177229520.54000005</v>
      </c>
      <c r="H31" s="148">
        <f>SUM('2026'!G107:I107)</f>
        <v>181317690.53000003</v>
      </c>
      <c r="I31" s="149">
        <f t="shared" si="0"/>
        <v>-4088169.9899999797</v>
      </c>
      <c r="J31" s="557">
        <f t="shared" si="1"/>
        <v>-2.2547000119238603E-2</v>
      </c>
      <c r="K31" s="148">
        <f>SUM('2025'!G31:I31)</f>
        <v>169605158.42000002</v>
      </c>
      <c r="L31" s="149">
        <f t="shared" si="7"/>
        <v>7624362.1200000346</v>
      </c>
      <c r="M31" s="153">
        <f t="shared" si="2"/>
        <v>4.4953598056961974E-2</v>
      </c>
      <c r="N31" s="148">
        <f>'2026'!I31</f>
        <v>59330909.120000042</v>
      </c>
      <c r="O31" s="148">
        <f>'2026'!I107</f>
        <v>59643227.720000029</v>
      </c>
      <c r="P31" s="149">
        <f>+N31-O31</f>
        <v>-312318.59999998659</v>
      </c>
      <c r="Q31" s="151">
        <f>IF(+IF(ISERROR(N31/O31),"…",N31/O31-1)&gt;200%,"...",IF(ISERROR(N31/O31),"…",N31/O31-1))</f>
        <v>-5.2364469855017415E-3</v>
      </c>
      <c r="R31" s="148">
        <f>'2025'!I31</f>
        <v>56240253.310000017</v>
      </c>
      <c r="S31" s="149">
        <f t="shared" si="4"/>
        <v>3090655.8100000247</v>
      </c>
      <c r="T31" s="153">
        <f t="shared" si="5"/>
        <v>5.4954514393171783E-2</v>
      </c>
      <c r="W31" s="470"/>
      <c r="Y31" s="470"/>
    </row>
    <row r="32" spans="1:25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f>'2026'!S32</f>
        <v>6735793.9499999993</v>
      </c>
      <c r="H32" s="148">
        <f>SUM('2026'!G108:I108)</f>
        <v>6040402</v>
      </c>
      <c r="I32" s="149">
        <f t="shared" si="0"/>
        <v>695391.94999999925</v>
      </c>
      <c r="J32" s="557">
        <f t="shared" si="1"/>
        <v>0.11512345535942803</v>
      </c>
      <c r="K32" s="148">
        <f>SUM('2025'!G32:I32)</f>
        <v>3733511.3200000017</v>
      </c>
      <c r="L32" s="149">
        <f t="shared" si="7"/>
        <v>3002282.6299999976</v>
      </c>
      <c r="M32" s="153">
        <f t="shared" si="2"/>
        <v>0.80414450973192619</v>
      </c>
      <c r="N32" s="148">
        <f>'2026'!I32</f>
        <v>3803748.9</v>
      </c>
      <c r="O32" s="148">
        <f>'2026'!I108</f>
        <v>1916284.2100000014</v>
      </c>
      <c r="P32" s="149">
        <f t="shared" si="6"/>
        <v>1887464.6899999985</v>
      </c>
      <c r="Q32" s="151">
        <f t="shared" si="3"/>
        <v>0.98496072772002718</v>
      </c>
      <c r="R32" s="148">
        <f>'2025'!I32</f>
        <v>1859578.6300000001</v>
      </c>
      <c r="S32" s="149">
        <f t="shared" si="4"/>
        <v>1944170.2699999998</v>
      </c>
      <c r="T32" s="153">
        <f t="shared" si="5"/>
        <v>1.0454896817135393</v>
      </c>
      <c r="W32" s="470"/>
      <c r="Y32" s="470"/>
    </row>
    <row r="33" spans="1:25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f>'2026'!S33</f>
        <v>7588559.209999999</v>
      </c>
      <c r="H33" s="148">
        <f>SUM('2026'!G109:I109)</f>
        <v>10694467.699999992</v>
      </c>
      <c r="I33" s="149">
        <f t="shared" si="0"/>
        <v>-3105908.4899999928</v>
      </c>
      <c r="J33" s="557">
        <f t="shared" si="1"/>
        <v>-0.29042198051614998</v>
      </c>
      <c r="K33" s="148">
        <f>SUM('2025'!G33:I33)</f>
        <v>6118022.9300000006</v>
      </c>
      <c r="L33" s="149">
        <f t="shared" si="7"/>
        <v>1470536.2799999984</v>
      </c>
      <c r="M33" s="153">
        <f t="shared" si="2"/>
        <v>0.24036135477511178</v>
      </c>
      <c r="N33" s="148">
        <f>'2026'!I33</f>
        <v>3565591.7199999988</v>
      </c>
      <c r="O33" s="148">
        <f>'2026'!I109</f>
        <v>4435898.1899999995</v>
      </c>
      <c r="P33" s="149">
        <f t="shared" si="6"/>
        <v>-870306.47000000067</v>
      </c>
      <c r="Q33" s="151">
        <f t="shared" si="3"/>
        <v>-0.19619622288941685</v>
      </c>
      <c r="R33" s="148">
        <f>'2025'!I33</f>
        <v>4592010.7300000004</v>
      </c>
      <c r="S33" s="149">
        <f t="shared" si="4"/>
        <v>-1026419.0100000016</v>
      </c>
      <c r="T33" s="153">
        <f t="shared" si="5"/>
        <v>-0.22352278127189862</v>
      </c>
      <c r="W33" s="470"/>
      <c r="Y33" s="470"/>
    </row>
    <row r="34" spans="1:25">
      <c r="A34" s="135">
        <v>414</v>
      </c>
      <c r="B34" s="600" t="str">
        <f>+VLOOKUP($A34,Master!$D$30:$G$226,4,FALSE)</f>
        <v>Rashodi za usluge</v>
      </c>
      <c r="C34" s="601"/>
      <c r="D34" s="601"/>
      <c r="E34" s="601"/>
      <c r="F34" s="601"/>
      <c r="G34" s="148">
        <f>'2026'!S34</f>
        <v>14666852.620000001</v>
      </c>
      <c r="H34" s="148">
        <f>SUM('2026'!G110:I110)</f>
        <v>24778452.110000029</v>
      </c>
      <c r="I34" s="149">
        <f t="shared" si="0"/>
        <v>-10111599.490000028</v>
      </c>
      <c r="J34" s="557">
        <f t="shared" si="1"/>
        <v>-0.40808035324850711</v>
      </c>
      <c r="K34" s="148">
        <f>SUM('2025'!G34:I34)</f>
        <v>10115152.800000001</v>
      </c>
      <c r="L34" s="149">
        <f t="shared" si="7"/>
        <v>4551699.82</v>
      </c>
      <c r="M34" s="153">
        <f t="shared" si="2"/>
        <v>0.44998824140353078</v>
      </c>
      <c r="N34" s="148">
        <f>'2026'!I34</f>
        <v>6618147.4100000001</v>
      </c>
      <c r="O34" s="148">
        <f>'2026'!I110</f>
        <v>7824529.6200000066</v>
      </c>
      <c r="P34" s="149">
        <f t="shared" si="6"/>
        <v>-1206382.2100000065</v>
      </c>
      <c r="Q34" s="151">
        <f t="shared" si="3"/>
        <v>-0.15417951858938783</v>
      </c>
      <c r="R34" s="148">
        <f>'2025'!I34</f>
        <v>5712383.1800000016</v>
      </c>
      <c r="S34" s="149">
        <f t="shared" si="4"/>
        <v>905764.22999999858</v>
      </c>
      <c r="T34" s="153">
        <f t="shared" si="5"/>
        <v>0.15856153228152281</v>
      </c>
      <c r="W34" s="470"/>
      <c r="Y34" s="470"/>
    </row>
    <row r="35" spans="1:25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f>'2026'!S35</f>
        <v>4155493.22</v>
      </c>
      <c r="H35" s="148">
        <f>SUM('2026'!G111:I111)</f>
        <v>13363077.939999998</v>
      </c>
      <c r="I35" s="149">
        <f t="shared" si="0"/>
        <v>-9207584.7199999969</v>
      </c>
      <c r="J35" s="557">
        <f t="shared" si="1"/>
        <v>-0.68903173066429035</v>
      </c>
      <c r="K35" s="148">
        <f>SUM('2025'!G35:I35)</f>
        <v>4187456.54</v>
      </c>
      <c r="L35" s="149">
        <f t="shared" si="7"/>
        <v>-31963.319999999832</v>
      </c>
      <c r="M35" s="153">
        <f t="shared" si="2"/>
        <v>-7.6331108620890653E-3</v>
      </c>
      <c r="N35" s="148">
        <f>'2026'!I35</f>
        <v>1879395.3000000003</v>
      </c>
      <c r="O35" s="148">
        <f>'2026'!I111</f>
        <v>4971731.5200000005</v>
      </c>
      <c r="P35" s="149">
        <f t="shared" si="6"/>
        <v>-3092336.22</v>
      </c>
      <c r="Q35" s="151">
        <f t="shared" si="3"/>
        <v>-0.62198375104535009</v>
      </c>
      <c r="R35" s="148">
        <f>'2025'!I35</f>
        <v>3236889.07</v>
      </c>
      <c r="S35" s="149">
        <f t="shared" si="4"/>
        <v>-1357493.7699999996</v>
      </c>
      <c r="T35" s="153">
        <f t="shared" si="5"/>
        <v>-0.41938223418944653</v>
      </c>
      <c r="W35" s="470"/>
      <c r="Y35" s="470"/>
    </row>
    <row r="36" spans="1:25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f>'2026'!S36</f>
        <v>71805382.439999998</v>
      </c>
      <c r="H36" s="148">
        <f>SUM('2026'!G112:I112)</f>
        <v>33365039.960000001</v>
      </c>
      <c r="I36" s="149">
        <f t="shared" si="0"/>
        <v>38440342.479999997</v>
      </c>
      <c r="J36" s="557">
        <f t="shared" si="1"/>
        <v>1.1521143845799249</v>
      </c>
      <c r="K36" s="148">
        <f>SUM('2025'!G36:I36)</f>
        <v>31580976.48</v>
      </c>
      <c r="L36" s="149">
        <f t="shared" si="7"/>
        <v>40224405.959999993</v>
      </c>
      <c r="M36" s="153">
        <f t="shared" si="2"/>
        <v>1.2736910141291489</v>
      </c>
      <c r="N36" s="148">
        <f>'2026'!I36</f>
        <v>63594317.369999997</v>
      </c>
      <c r="O36" s="148">
        <f>'2026'!I112</f>
        <v>22203570.899999999</v>
      </c>
      <c r="P36" s="149">
        <f t="shared" si="6"/>
        <v>41390746.469999999</v>
      </c>
      <c r="Q36" s="151">
        <f t="shared" si="3"/>
        <v>1.8641481884339606</v>
      </c>
      <c r="R36" s="148">
        <f>'2025'!I36</f>
        <v>24471807.800000001</v>
      </c>
      <c r="S36" s="149">
        <f t="shared" si="4"/>
        <v>39122509.569999993</v>
      </c>
      <c r="T36" s="153">
        <f t="shared" si="5"/>
        <v>1.5986767258771946</v>
      </c>
      <c r="W36" s="470"/>
      <c r="Y36" s="470"/>
    </row>
    <row r="37" spans="1:25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f>'2026'!S37</f>
        <v>2297903.0499999998</v>
      </c>
      <c r="H37" s="148">
        <f>SUM('2026'!G113:I113)</f>
        <v>3798827.3200000031</v>
      </c>
      <c r="I37" s="149">
        <f t="shared" si="0"/>
        <v>-1500924.2700000033</v>
      </c>
      <c r="J37" s="557">
        <f t="shared" si="1"/>
        <v>-0.39510199952968694</v>
      </c>
      <c r="K37" s="148">
        <f>SUM('2025'!G37:I37)</f>
        <v>2100326.2999999998</v>
      </c>
      <c r="L37" s="149">
        <f t="shared" si="7"/>
        <v>197576.75</v>
      </c>
      <c r="M37" s="153">
        <f t="shared" si="2"/>
        <v>9.4069550050389861E-2</v>
      </c>
      <c r="N37" s="148">
        <f>'2026'!I37</f>
        <v>1032409.46</v>
      </c>
      <c r="O37" s="148">
        <f>'2026'!I113</f>
        <v>1267222.4600000011</v>
      </c>
      <c r="P37" s="149">
        <f t="shared" si="6"/>
        <v>-234813.00000000116</v>
      </c>
      <c r="Q37" s="151">
        <f t="shared" si="3"/>
        <v>-0.18529737864652507</v>
      </c>
      <c r="R37" s="148">
        <f>'2025'!I37</f>
        <v>1423673.45</v>
      </c>
      <c r="S37" s="149">
        <f t="shared" si="4"/>
        <v>-391263.99</v>
      </c>
      <c r="T37" s="153">
        <f t="shared" si="5"/>
        <v>-0.27482706093872866</v>
      </c>
      <c r="W37" s="470"/>
      <c r="Y37" s="470"/>
    </row>
    <row r="38" spans="1:25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f>'2026'!S38</f>
        <v>14671453.929999992</v>
      </c>
      <c r="H38" s="148">
        <f>SUM('2026'!G114:I114)</f>
        <v>12359655.130000001</v>
      </c>
      <c r="I38" s="149">
        <f t="shared" si="0"/>
        <v>2311798.7999999914</v>
      </c>
      <c r="J38" s="557">
        <f t="shared" si="1"/>
        <v>0.18704395678392949</v>
      </c>
      <c r="K38" s="148">
        <f>SUM('2025'!G38:I38)</f>
        <v>10869570.460000001</v>
      </c>
      <c r="L38" s="149">
        <f t="shared" si="7"/>
        <v>3801883.4699999914</v>
      </c>
      <c r="M38" s="153">
        <f t="shared" si="2"/>
        <v>0.34977311053743243</v>
      </c>
      <c r="N38" s="148">
        <f>'2026'!I38</f>
        <v>6148675.1900000041</v>
      </c>
      <c r="O38" s="148">
        <f>'2026'!I114</f>
        <v>4858508.4000000004</v>
      </c>
      <c r="P38" s="149">
        <f t="shared" si="6"/>
        <v>1290166.7900000038</v>
      </c>
      <c r="Q38" s="151">
        <f t="shared" si="3"/>
        <v>0.26554791795770161</v>
      </c>
      <c r="R38" s="148">
        <f>'2025'!I38</f>
        <v>6084455.6400000006</v>
      </c>
      <c r="S38" s="149">
        <f t="shared" si="4"/>
        <v>64219.550000003539</v>
      </c>
      <c r="T38" s="153">
        <f t="shared" si="5"/>
        <v>1.0554691134210259E-2</v>
      </c>
      <c r="W38" s="470"/>
      <c r="Y38" s="470"/>
    </row>
    <row r="39" spans="1:25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f>'2026'!S39</f>
        <v>11378669.850000001</v>
      </c>
      <c r="H39" s="148">
        <f>SUM('2026'!G115:I115)</f>
        <v>19627425.379999999</v>
      </c>
      <c r="I39" s="149">
        <f t="shared" si="0"/>
        <v>-8248755.5299999975</v>
      </c>
      <c r="J39" s="557">
        <f t="shared" si="1"/>
        <v>-0.42026681392483267</v>
      </c>
      <c r="K39" s="148">
        <f>SUM('2025'!G39:I39)</f>
        <v>9798422.1499999985</v>
      </c>
      <c r="L39" s="149">
        <f t="shared" si="7"/>
        <v>1580247.700000003</v>
      </c>
      <c r="M39" s="153">
        <f t="shared" si="2"/>
        <v>0.16127573152173325</v>
      </c>
      <c r="N39" s="148">
        <f>'2026'!I39</f>
        <v>5068638.5999999996</v>
      </c>
      <c r="O39" s="148">
        <f>'2026'!I115</f>
        <v>7550206.6900000013</v>
      </c>
      <c r="P39" s="149">
        <f t="shared" si="6"/>
        <v>-2481568.0900000017</v>
      </c>
      <c r="Q39" s="151">
        <f t="shared" si="3"/>
        <v>-0.32867551735858525</v>
      </c>
      <c r="R39" s="148">
        <f>'2025'!I39</f>
        <v>7275150.3600000003</v>
      </c>
      <c r="S39" s="149">
        <f t="shared" si="4"/>
        <v>-2206511.7600000007</v>
      </c>
      <c r="T39" s="153">
        <f t="shared" si="5"/>
        <v>-0.30329431706755827</v>
      </c>
      <c r="W39" s="470"/>
      <c r="Y39" s="470"/>
    </row>
    <row r="40" spans="1:25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'2026'!S40</f>
        <v>280643352.38999999</v>
      </c>
      <c r="H40" s="178">
        <f>SUM('2026'!G116:I116)</f>
        <v>290822734.10000002</v>
      </c>
      <c r="I40" s="179">
        <f t="shared" si="0"/>
        <v>-10179381.710000038</v>
      </c>
      <c r="J40" s="181">
        <f t="shared" si="1"/>
        <v>-3.5002015029883538E-2</v>
      </c>
      <c r="K40" s="178">
        <f>SUM('2025'!G40:I40)</f>
        <v>269215336.67999995</v>
      </c>
      <c r="L40" s="179">
        <f t="shared" si="7"/>
        <v>11428015.710000038</v>
      </c>
      <c r="M40" s="183">
        <f t="shared" si="2"/>
        <v>4.2449348729280745E-2</v>
      </c>
      <c r="N40" s="178">
        <f>'2026'!I40</f>
        <v>95425470.829999998</v>
      </c>
      <c r="O40" s="178">
        <f>'2026'!I116</f>
        <v>95251653.310000017</v>
      </c>
      <c r="P40" s="179">
        <f t="shared" si="6"/>
        <v>173817.51999998093</v>
      </c>
      <c r="Q40" s="181">
        <f t="shared" si="3"/>
        <v>1.8248241784768471E-3</v>
      </c>
      <c r="R40" s="178">
        <f>'2025'!I40</f>
        <v>92698392.189999998</v>
      </c>
      <c r="S40" s="179">
        <f t="shared" si="4"/>
        <v>2727078.6400000006</v>
      </c>
      <c r="T40" s="183">
        <f t="shared" si="5"/>
        <v>2.9418834303085006E-2</v>
      </c>
      <c r="W40" s="470"/>
      <c r="Y40" s="470"/>
    </row>
    <row r="41" spans="1:25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f>'2026'!S41</f>
        <v>59334794.559999995</v>
      </c>
      <c r="H41" s="148">
        <f>SUM('2026'!G117:I117)</f>
        <v>64413130.230000004</v>
      </c>
      <c r="I41" s="149">
        <f t="shared" si="0"/>
        <v>-5078335.6700000092</v>
      </c>
      <c r="J41" s="151">
        <f t="shared" si="1"/>
        <v>-7.8840069592438611E-2</v>
      </c>
      <c r="K41" s="148">
        <f>SUM('2025'!G41:I41)</f>
        <v>62830557.660000019</v>
      </c>
      <c r="L41" s="149">
        <f t="shared" si="7"/>
        <v>-3495763.1000000238</v>
      </c>
      <c r="M41" s="153">
        <f t="shared" si="2"/>
        <v>-5.5637944818457963E-2</v>
      </c>
      <c r="N41" s="148">
        <f>'2026'!I41</f>
        <v>19305795.789999999</v>
      </c>
      <c r="O41" s="148">
        <f>'2026'!I117</f>
        <v>21149012.300000001</v>
      </c>
      <c r="P41" s="149">
        <f t="shared" si="6"/>
        <v>-1843216.5100000016</v>
      </c>
      <c r="Q41" s="151">
        <f t="shared" si="3"/>
        <v>-8.715378684611208E-2</v>
      </c>
      <c r="R41" s="148">
        <f>'2025'!I41</f>
        <v>21236015.860000007</v>
      </c>
      <c r="S41" s="149">
        <f t="shared" si="4"/>
        <v>-1930220.0700000077</v>
      </c>
      <c r="T41" s="153">
        <f t="shared" si="5"/>
        <v>-9.0893700716985992E-2</v>
      </c>
      <c r="W41" s="470"/>
      <c r="Y41" s="470"/>
    </row>
    <row r="42" spans="1:25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f>'2026'!S42</f>
        <v>4148369.37</v>
      </c>
      <c r="H42" s="148">
        <f>SUM('2026'!G118:I118)</f>
        <v>6491548.0700000003</v>
      </c>
      <c r="I42" s="149">
        <f t="shared" si="0"/>
        <v>-2343178.7000000002</v>
      </c>
      <c r="J42" s="151">
        <f t="shared" si="1"/>
        <v>-0.36095838384510337</v>
      </c>
      <c r="K42" s="148">
        <f>SUM('2025'!G42:I42)</f>
        <v>4351063.3900000006</v>
      </c>
      <c r="L42" s="149">
        <f t="shared" si="7"/>
        <v>-202694.02000000048</v>
      </c>
      <c r="M42" s="153">
        <f t="shared" si="2"/>
        <v>-4.6584938400541342E-2</v>
      </c>
      <c r="N42" s="148">
        <f>'2026'!I42</f>
        <v>2113526.08</v>
      </c>
      <c r="O42" s="148">
        <f>'2026'!I118</f>
        <v>2123814.2599999998</v>
      </c>
      <c r="P42" s="149">
        <f t="shared" si="6"/>
        <v>-10288.179999999702</v>
      </c>
      <c r="Q42" s="151">
        <f t="shared" si="3"/>
        <v>-4.8441995111190295E-3</v>
      </c>
      <c r="R42" s="148">
        <f>'2025'!I42</f>
        <v>2167887.46</v>
      </c>
      <c r="S42" s="149">
        <f t="shared" si="4"/>
        <v>-54361.379999999888</v>
      </c>
      <c r="T42" s="153">
        <f t="shared" si="5"/>
        <v>-2.5075738940802728E-2</v>
      </c>
      <c r="W42" s="470"/>
      <c r="Y42" s="470"/>
    </row>
    <row r="43" spans="1:25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f>'2026'!S43</f>
        <v>204915317.11000001</v>
      </c>
      <c r="H43" s="148">
        <f>SUM('2026'!G119:I119)</f>
        <v>206913739.60000002</v>
      </c>
      <c r="I43" s="149">
        <f t="shared" si="0"/>
        <v>-1998422.4900000095</v>
      </c>
      <c r="J43" s="151">
        <f t="shared" si="1"/>
        <v>-9.6582396793142289E-3</v>
      </c>
      <c r="K43" s="148">
        <f>SUM('2025'!G43:I43)</f>
        <v>193886974.08999997</v>
      </c>
      <c r="L43" s="149">
        <f t="shared" si="7"/>
        <v>11028343.020000041</v>
      </c>
      <c r="M43" s="153">
        <f t="shared" si="2"/>
        <v>5.6880267855853095E-2</v>
      </c>
      <c r="N43" s="148">
        <f>'2026'!I43</f>
        <v>68409043.260000005</v>
      </c>
      <c r="O43" s="148">
        <f>'2026'!I119</f>
        <v>68464856.170000017</v>
      </c>
      <c r="P43" s="149">
        <f t="shared" si="6"/>
        <v>-55812.910000011325</v>
      </c>
      <c r="Q43" s="151">
        <f t="shared" si="3"/>
        <v>-8.1520524722089593E-4</v>
      </c>
      <c r="R43" s="148">
        <f>'2025'!I43</f>
        <v>65458140.899999999</v>
      </c>
      <c r="S43" s="149">
        <f t="shared" si="4"/>
        <v>2950902.3600000069</v>
      </c>
      <c r="T43" s="153">
        <f t="shared" si="5"/>
        <v>4.5080754195388595E-2</v>
      </c>
      <c r="W43" s="470"/>
      <c r="Y43" s="470"/>
    </row>
    <row r="44" spans="1:25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f>'2026'!S44</f>
        <v>7433640.5199999996</v>
      </c>
      <c r="H44" s="148">
        <f>SUM('2026'!G120:I120)</f>
        <v>7903200.2599999998</v>
      </c>
      <c r="I44" s="149">
        <f t="shared" si="0"/>
        <v>-469559.74000000022</v>
      </c>
      <c r="J44" s="151">
        <f t="shared" si="1"/>
        <v>-5.9413873437644593E-2</v>
      </c>
      <c r="K44" s="148">
        <f>SUM('2025'!G44:I44)</f>
        <v>4766092.3199999994</v>
      </c>
      <c r="L44" s="149">
        <f t="shared" si="7"/>
        <v>2667548.2000000002</v>
      </c>
      <c r="M44" s="153">
        <f t="shared" si="2"/>
        <v>0.55969293519685759</v>
      </c>
      <c r="N44" s="148">
        <f>'2026'!I44</f>
        <v>3077011.53</v>
      </c>
      <c r="O44" s="148">
        <f>'2026'!I120</f>
        <v>1964311.0899999999</v>
      </c>
      <c r="P44" s="149">
        <f t="shared" si="6"/>
        <v>1112700.44</v>
      </c>
      <c r="Q44" s="151">
        <f t="shared" si="3"/>
        <v>0.56645836072737343</v>
      </c>
      <c r="R44" s="148">
        <f>'2025'!I44</f>
        <v>1822777.5999999999</v>
      </c>
      <c r="S44" s="149">
        <f t="shared" si="4"/>
        <v>1254233.93</v>
      </c>
      <c r="T44" s="153">
        <f t="shared" si="5"/>
        <v>0.68808939170637173</v>
      </c>
      <c r="W44" s="470"/>
      <c r="Y44" s="470"/>
    </row>
    <row r="45" spans="1:25">
      <c r="A45" s="135">
        <v>425</v>
      </c>
      <c r="B45" s="600" t="str">
        <f>+VLOOKUP($A45,Master!$D$30:$G$226,4,FALSE)</f>
        <v>Ostala prava iz zdravstvenog osiguranja</v>
      </c>
      <c r="C45" s="601"/>
      <c r="D45" s="601"/>
      <c r="E45" s="601"/>
      <c r="F45" s="601"/>
      <c r="G45" s="148">
        <f>'2026'!S45</f>
        <v>4811230.83</v>
      </c>
      <c r="H45" s="148">
        <f>SUM('2026'!G121:I121)</f>
        <v>5101115.9400000004</v>
      </c>
      <c r="I45" s="149">
        <f t="shared" si="0"/>
        <v>-289885.11000000034</v>
      </c>
      <c r="J45" s="151">
        <f t="shared" si="1"/>
        <v>-5.6827783059563264E-2</v>
      </c>
      <c r="K45" s="148">
        <f>SUM('2025'!G45:I45)</f>
        <v>3380649.2199999997</v>
      </c>
      <c r="L45" s="149">
        <f t="shared" si="7"/>
        <v>1430581.6100000003</v>
      </c>
      <c r="M45" s="153">
        <f t="shared" si="2"/>
        <v>0.42316771628853012</v>
      </c>
      <c r="N45" s="148">
        <f>'2026'!I45</f>
        <v>2520094.1699999995</v>
      </c>
      <c r="O45" s="148">
        <f>'2026'!I121</f>
        <v>1549659.49</v>
      </c>
      <c r="P45" s="149">
        <f t="shared" si="6"/>
        <v>970434.67999999947</v>
      </c>
      <c r="Q45" s="151">
        <f t="shared" si="3"/>
        <v>0.62622446173642921</v>
      </c>
      <c r="R45" s="148">
        <f>'2025'!I45</f>
        <v>2013570.37</v>
      </c>
      <c r="S45" s="149">
        <f t="shared" si="4"/>
        <v>506523.79999999935</v>
      </c>
      <c r="T45" s="153">
        <f t="shared" si="5"/>
        <v>0.25155505243156684</v>
      </c>
      <c r="W45" s="470"/>
      <c r="Y45" s="470"/>
    </row>
    <row r="46" spans="1:25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f>'2026'!S46</f>
        <v>106198975.61000001</v>
      </c>
      <c r="H46" s="160">
        <f>SUM('2026'!G122:I122)</f>
        <v>120168789.90000001</v>
      </c>
      <c r="I46" s="161">
        <f t="shared" si="0"/>
        <v>-13969814.289999992</v>
      </c>
      <c r="J46" s="163">
        <f t="shared" si="1"/>
        <v>-0.11625160161490478</v>
      </c>
      <c r="K46" s="160">
        <f>SUM('2025'!G46:I46)</f>
        <v>82448027.890000001</v>
      </c>
      <c r="L46" s="161">
        <f t="shared" si="7"/>
        <v>23750947.720000014</v>
      </c>
      <c r="M46" s="165">
        <f t="shared" si="2"/>
        <v>0.28807175050551725</v>
      </c>
      <c r="N46" s="160">
        <f>'2026'!I46</f>
        <v>43606975.510000005</v>
      </c>
      <c r="O46" s="160">
        <f>'2026'!I122</f>
        <v>41480698.100000001</v>
      </c>
      <c r="P46" s="161">
        <f t="shared" si="6"/>
        <v>2126277.4100000039</v>
      </c>
      <c r="Q46" s="163">
        <f t="shared" si="3"/>
        <v>5.1259441315911758E-2</v>
      </c>
      <c r="R46" s="160">
        <f>'2025'!I46</f>
        <v>48389791.060000002</v>
      </c>
      <c r="S46" s="161">
        <f t="shared" si="4"/>
        <v>-4782815.549999997</v>
      </c>
      <c r="T46" s="165">
        <f t="shared" si="5"/>
        <v>-9.8839351136474907E-2</v>
      </c>
      <c r="W46" s="470"/>
      <c r="Y46" s="470"/>
    </row>
    <row r="47" spans="1:25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f>'2026'!S47</f>
        <v>55302911.5</v>
      </c>
      <c r="H47" s="160">
        <f>SUM('2026'!G123:I123)</f>
        <v>90669824.950000048</v>
      </c>
      <c r="I47" s="161">
        <f t="shared" si="0"/>
        <v>-35366913.450000048</v>
      </c>
      <c r="J47" s="163">
        <f t="shared" si="1"/>
        <v>-0.39006266384106469</v>
      </c>
      <c r="K47" s="160">
        <f>SUM('2025'!G47:I47)</f>
        <v>32068977.719999999</v>
      </c>
      <c r="L47" s="161">
        <f t="shared" si="7"/>
        <v>23233933.780000001</v>
      </c>
      <c r="M47" s="165">
        <f t="shared" si="2"/>
        <v>0.72449873466063219</v>
      </c>
      <c r="N47" s="160">
        <f>'2026'!I47</f>
        <v>30298969.989999998</v>
      </c>
      <c r="O47" s="160">
        <f>'2026'!I123</f>
        <v>33300001.570000019</v>
      </c>
      <c r="P47" s="161">
        <f t="shared" si="6"/>
        <v>-3001031.5800000206</v>
      </c>
      <c r="Q47" s="163">
        <f t="shared" si="3"/>
        <v>-9.0121064219517932E-2</v>
      </c>
      <c r="R47" s="160">
        <f>'2025'!I47</f>
        <v>20240491.23</v>
      </c>
      <c r="S47" s="161">
        <f t="shared" si="4"/>
        <v>10058478.759999998</v>
      </c>
      <c r="T47" s="165">
        <f t="shared" si="5"/>
        <v>0.49694835197930121</v>
      </c>
      <c r="W47" s="470"/>
      <c r="Y47" s="470"/>
    </row>
    <row r="48" spans="1:25" hidden="1">
      <c r="A48" s="135">
        <v>451</v>
      </c>
      <c r="B48" s="568" t="str">
        <f>+VLOOKUP($A48,Master!$D$30:$G$226,4,FALSE)</f>
        <v>Pozajmice i krediti</v>
      </c>
      <c r="C48" s="569"/>
      <c r="D48" s="569"/>
      <c r="E48" s="569"/>
      <c r="F48" s="569"/>
      <c r="G48" s="148">
        <f>'2026'!S48</f>
        <v>0</v>
      </c>
      <c r="H48" s="148">
        <f>SUM('2026'!G124:I124)</f>
        <v>0</v>
      </c>
      <c r="I48" s="149">
        <f>G48-H48</f>
        <v>0</v>
      </c>
      <c r="J48" s="266" t="str">
        <f t="shared" si="1"/>
        <v>...</v>
      </c>
      <c r="K48" s="148">
        <f>SUM('2025'!G48:I48)</f>
        <v>0</v>
      </c>
      <c r="L48" s="263">
        <f t="shared" si="7"/>
        <v>0</v>
      </c>
      <c r="M48" s="561" t="str">
        <f t="shared" si="2"/>
        <v>...</v>
      </c>
      <c r="N48" s="148">
        <f>'2026'!I48</f>
        <v>0</v>
      </c>
      <c r="O48" s="148">
        <f>'2026'!I124</f>
        <v>0</v>
      </c>
      <c r="P48" s="149">
        <f t="shared" si="6"/>
        <v>0</v>
      </c>
      <c r="Q48" s="266" t="str">
        <f t="shared" si="3"/>
        <v>...</v>
      </c>
      <c r="R48" s="148">
        <f>'2025'!I48</f>
        <v>0</v>
      </c>
      <c r="S48" s="263">
        <f>+N48-R48-S58</f>
        <v>882170.92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8" t="str">
        <f>+VLOOKUP($A49,Master!$D$30:$G$226,4,FALSE)</f>
        <v>Rezerve</v>
      </c>
      <c r="C49" s="569"/>
      <c r="D49" s="569"/>
      <c r="E49" s="569"/>
      <c r="F49" s="569"/>
      <c r="G49" s="148">
        <f>'2026'!S49</f>
        <v>503959.4</v>
      </c>
      <c r="H49" s="148">
        <f>SUM('2026'!G125:I125)</f>
        <v>21529163.739999998</v>
      </c>
      <c r="I49" s="149">
        <f t="shared" ref="I49:I50" si="8">G49-H49</f>
        <v>-21025204.34</v>
      </c>
      <c r="J49" s="267">
        <f t="shared" si="1"/>
        <v>-0.97659178005768654</v>
      </c>
      <c r="K49" s="148">
        <f>SUM('2025'!G49:I49)</f>
        <v>4307489.84</v>
      </c>
      <c r="L49" s="264">
        <f t="shared" si="7"/>
        <v>-3803530.44</v>
      </c>
      <c r="M49" s="476">
        <f t="shared" si="2"/>
        <v>-0.88300392601738553</v>
      </c>
      <c r="N49" s="148">
        <f>'2026'!I49</f>
        <v>502000</v>
      </c>
      <c r="O49" s="148">
        <f>'2026'!I125</f>
        <v>17727166.02</v>
      </c>
      <c r="P49" s="149">
        <f t="shared" si="6"/>
        <v>-17225166.02</v>
      </c>
      <c r="Q49" s="267">
        <f t="shared" si="3"/>
        <v>-0.97168188082440032</v>
      </c>
      <c r="R49" s="148">
        <f>'2025'!I49</f>
        <v>4097639.84</v>
      </c>
      <c r="S49" s="264">
        <f t="shared" si="4"/>
        <v>-3595639.84</v>
      </c>
      <c r="T49" s="476">
        <f t="shared" si="5"/>
        <v>-0.87749045313850715</v>
      </c>
      <c r="W49" s="470"/>
      <c r="Y49" s="470"/>
    </row>
    <row r="50" spans="1:25" ht="15.7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f>'2026'!S50</f>
        <v>0</v>
      </c>
      <c r="H50" s="148">
        <f>SUM('2026'!G126:I126)</f>
        <v>0.48</v>
      </c>
      <c r="I50" s="149">
        <f t="shared" si="8"/>
        <v>-0.48</v>
      </c>
      <c r="J50" s="268">
        <f t="shared" si="1"/>
        <v>-1</v>
      </c>
      <c r="K50" s="148">
        <f>SUM('2025'!G50:I50)</f>
        <v>4062322.96</v>
      </c>
      <c r="L50" s="264">
        <f t="shared" si="7"/>
        <v>-4062322.96</v>
      </c>
      <c r="M50" s="477">
        <f t="shared" si="2"/>
        <v>-1</v>
      </c>
      <c r="N50" s="148">
        <f>'2026'!I50</f>
        <v>0</v>
      </c>
      <c r="O50" s="148">
        <f>'2026'!I126</f>
        <v>0.16</v>
      </c>
      <c r="P50" s="149">
        <f t="shared" si="6"/>
        <v>-0.16</v>
      </c>
      <c r="Q50" s="268">
        <f t="shared" si="3"/>
        <v>-1</v>
      </c>
      <c r="R50" s="148">
        <f>'2025'!I50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6" t="str">
        <f>+VLOOKUP($A51,Master!$D$30:$G$226,4,FALSE)</f>
        <v>Otplata obaveza iz prethodnog perioda</v>
      </c>
      <c r="C51" s="587"/>
      <c r="D51" s="587"/>
      <c r="E51" s="587"/>
      <c r="F51" s="587"/>
      <c r="G51" s="295">
        <f>'2026'!S51</f>
        <v>6216648.6200000001</v>
      </c>
      <c r="H51" s="295">
        <f>SUM('2026'!G127:I127)</f>
        <v>1294481.7000000058</v>
      </c>
      <c r="I51" s="265">
        <f>G51-H51</f>
        <v>4922166.9199999943</v>
      </c>
      <c r="J51" s="269" t="str">
        <f t="shared" si="1"/>
        <v>...</v>
      </c>
      <c r="K51" s="295">
        <f>SUM('2025'!G51:I51)</f>
        <v>5435083.5199999996</v>
      </c>
      <c r="L51" s="271">
        <f t="shared" si="7"/>
        <v>781565.10000000056</v>
      </c>
      <c r="M51" s="478">
        <f t="shared" si="2"/>
        <v>0.14380001652670105</v>
      </c>
      <c r="N51" s="295">
        <f>'2026'!I51</f>
        <v>2103523.9900000002</v>
      </c>
      <c r="O51" s="295">
        <f>'2026'!I127</f>
        <v>423298.80000000191</v>
      </c>
      <c r="P51" s="265">
        <f>N51-O51</f>
        <v>1680225.1899999983</v>
      </c>
      <c r="Q51" s="269" t="str">
        <f t="shared" si="3"/>
        <v>...</v>
      </c>
      <c r="R51" s="295">
        <f>'2025'!I51</f>
        <v>2186945.5499999998</v>
      </c>
      <c r="S51" s="271">
        <f>+N51-R51</f>
        <v>-83421.55999999959</v>
      </c>
      <c r="T51" s="478">
        <f t="shared" si="5"/>
        <v>-3.814523868689812E-2</v>
      </c>
      <c r="W51" s="470"/>
      <c r="Y51" s="470"/>
    </row>
    <row r="52" spans="1:25" ht="15.75" thickBot="1">
      <c r="A52" s="129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148">
        <f>'2026'!S52</f>
        <v>0</v>
      </c>
      <c r="H52" s="148">
        <f>SUM('2026'!G128:I128)</f>
        <v>0</v>
      </c>
      <c r="I52" s="265">
        <f>G52-H52</f>
        <v>0</v>
      </c>
      <c r="J52" s="269" t="str">
        <f t="shared" si="1"/>
        <v>...</v>
      </c>
      <c r="K52" s="148">
        <f>SUM('2025'!G52:I52)</f>
        <v>0</v>
      </c>
      <c r="L52" s="271">
        <f t="shared" si="7"/>
        <v>0</v>
      </c>
      <c r="M52" s="478" t="str">
        <f t="shared" si="2"/>
        <v>...</v>
      </c>
      <c r="N52" s="148">
        <f>'2026'!I52</f>
        <v>0</v>
      </c>
      <c r="O52" s="148">
        <f>'2026'!I128</f>
        <v>0</v>
      </c>
      <c r="P52" s="265">
        <f>N52-O52</f>
        <v>0</v>
      </c>
      <c r="Q52" s="269" t="str">
        <f t="shared" si="3"/>
        <v>...</v>
      </c>
      <c r="R52" s="148">
        <f>'2025'!I52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>'2026'!S53</f>
        <v>-124043253.14999998</v>
      </c>
      <c r="H53" s="136">
        <f>SUM('2026'!G129:I129)</f>
        <v>-194783701.19380489</v>
      </c>
      <c r="I53" s="299">
        <f>+G53-H53</f>
        <v>70740448.043804914</v>
      </c>
      <c r="J53" s="270">
        <f t="shared" si="1"/>
        <v>-0.36317437039262312</v>
      </c>
      <c r="K53" s="136">
        <f>SUM('2025'!G53:I53)</f>
        <v>-65195354.919999927</v>
      </c>
      <c r="L53" s="272">
        <f t="shared" si="7"/>
        <v>-58847898.230000049</v>
      </c>
      <c r="M53" s="479">
        <f t="shared" si="2"/>
        <v>0.90263943347208198</v>
      </c>
      <c r="N53" s="136">
        <f>'2026'!I53</f>
        <v>-42261550.150000036</v>
      </c>
      <c r="O53" s="136">
        <f>'2026'!I129</f>
        <v>-26505441.738050878</v>
      </c>
      <c r="P53" s="299">
        <f>N53-O53</f>
        <v>-15756108.411949158</v>
      </c>
      <c r="Q53" s="270">
        <f t="shared" si="3"/>
        <v>0.5944480596725874</v>
      </c>
      <c r="R53" s="136">
        <f>'2025'!I53</f>
        <v>-33155967.74999997</v>
      </c>
      <c r="S53" s="272">
        <f t="shared" si="4"/>
        <v>-9105582.4000000656</v>
      </c>
      <c r="T53" s="479">
        <f t="shared" si="5"/>
        <v>0.274628762721006</v>
      </c>
      <c r="W53" s="470"/>
      <c r="Y53" s="470"/>
    </row>
    <row r="54" spans="1:25" ht="15.7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36">
        <f>'2026'!S54</f>
        <v>-52237870.709999986</v>
      </c>
      <c r="H54" s="136">
        <f>SUM('2026'!G130:I130)</f>
        <v>-161418661.23380488</v>
      </c>
      <c r="I54" s="191">
        <f t="shared" si="0"/>
        <v>109180790.5238049</v>
      </c>
      <c r="J54" s="193">
        <f t="shared" si="1"/>
        <v>-0.67638270376721388</v>
      </c>
      <c r="K54" s="136">
        <f>SUM('2025'!G54:I54)</f>
        <v>-33614378.439999923</v>
      </c>
      <c r="L54" s="191">
        <f t="shared" si="7"/>
        <v>-18623492.270000063</v>
      </c>
      <c r="M54" s="195">
        <f t="shared" si="2"/>
        <v>0.55403351584329052</v>
      </c>
      <c r="N54" s="136">
        <f>'2026'!I54</f>
        <v>21332767.219999962</v>
      </c>
      <c r="O54" s="136">
        <f>'2026'!I130</f>
        <v>-4301870.8380508795</v>
      </c>
      <c r="P54" s="191">
        <f t="shared" si="6"/>
        <v>25634638.058050841</v>
      </c>
      <c r="Q54" s="193">
        <f t="shared" si="3"/>
        <v>-5.958951122220479</v>
      </c>
      <c r="R54" s="136">
        <f>'2025'!I54</f>
        <v>-8684159.9499999695</v>
      </c>
      <c r="S54" s="191">
        <f t="shared" si="4"/>
        <v>30016927.169999931</v>
      </c>
      <c r="T54" s="195">
        <f t="shared" si="5"/>
        <v>-3.4565147743507461</v>
      </c>
      <c r="W54" s="470"/>
      <c r="Y54" s="470"/>
    </row>
    <row r="55" spans="1:25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460">
        <f>'2026'!S55</f>
        <v>69765024.810000002</v>
      </c>
      <c r="H55" s="460">
        <f>SUM('2026'!G131:I131)</f>
        <v>53939410.629999995</v>
      </c>
      <c r="I55" s="461">
        <f t="shared" si="0"/>
        <v>15825614.180000007</v>
      </c>
      <c r="J55" s="462">
        <f t="shared" si="1"/>
        <v>0.29339612715749852</v>
      </c>
      <c r="K55" s="460">
        <f>SUM('2025'!G55:I55)</f>
        <v>78723770.099999994</v>
      </c>
      <c r="L55" s="461">
        <f t="shared" si="7"/>
        <v>-8958745.2899999917</v>
      </c>
      <c r="M55" s="480">
        <f t="shared" si="2"/>
        <v>-0.11379974915606839</v>
      </c>
      <c r="N55" s="460">
        <f>'2026'!I55</f>
        <v>26510380.109999999</v>
      </c>
      <c r="O55" s="460">
        <f>'2026'!I131</f>
        <v>8538883.3599999994</v>
      </c>
      <c r="P55" s="461">
        <f t="shared" si="6"/>
        <v>17971496.75</v>
      </c>
      <c r="Q55" s="462" t="str">
        <f t="shared" si="3"/>
        <v>...</v>
      </c>
      <c r="R55" s="460">
        <f>'2025'!I55</f>
        <v>35822753.07</v>
      </c>
      <c r="S55" s="461">
        <f t="shared" si="4"/>
        <v>-9312372.9600000009</v>
      </c>
      <c r="T55" s="480">
        <f t="shared" si="5"/>
        <v>-0.25995693133364195</v>
      </c>
      <c r="W55" s="470"/>
      <c r="Y55" s="470"/>
    </row>
    <row r="56" spans="1:25">
      <c r="A56" s="129">
        <v>4611</v>
      </c>
      <c r="B56" s="568" t="str">
        <f>+VLOOKUP($A56,Master!$D$30:$G$226,4,FALSE)</f>
        <v>Otplata hartija od vrijednosti i kredita rezidentima</v>
      </c>
      <c r="C56" s="569"/>
      <c r="D56" s="569"/>
      <c r="E56" s="569"/>
      <c r="F56" s="569"/>
      <c r="G56" s="148">
        <f>'2026'!S56</f>
        <v>7298142.71</v>
      </c>
      <c r="H56" s="148">
        <f>SUM('2026'!G132:I132)</f>
        <v>7328671.2200000007</v>
      </c>
      <c r="I56" s="197">
        <f t="shared" si="0"/>
        <v>-30528.510000000708</v>
      </c>
      <c r="J56" s="199">
        <f t="shared" si="1"/>
        <v>-4.1656269033720772E-3</v>
      </c>
      <c r="K56" s="148">
        <f>SUM('2025'!G56:I56)</f>
        <v>8110872.0700000003</v>
      </c>
      <c r="L56" s="197">
        <f t="shared" si="7"/>
        <v>-812729.36000000034</v>
      </c>
      <c r="M56" s="201">
        <f t="shared" si="2"/>
        <v>-0.10020246318593462</v>
      </c>
      <c r="N56" s="148">
        <f>'2026'!I56</f>
        <v>4622260.75</v>
      </c>
      <c r="O56" s="148">
        <f>'2026'!I132</f>
        <v>4628146.62</v>
      </c>
      <c r="P56" s="197">
        <f t="shared" si="6"/>
        <v>-5885.8700000001118</v>
      </c>
      <c r="Q56" s="199">
        <f t="shared" si="3"/>
        <v>-1.2717553014774952E-3</v>
      </c>
      <c r="R56" s="148">
        <f>'2025'!I56</f>
        <v>4420486.6500000004</v>
      </c>
      <c r="S56" s="197">
        <f t="shared" si="4"/>
        <v>201774.09999999963</v>
      </c>
      <c r="T56" s="201">
        <f t="shared" si="5"/>
        <v>4.5645223247082978E-2</v>
      </c>
      <c r="W56" s="470"/>
      <c r="Y56" s="470"/>
    </row>
    <row r="57" spans="1:25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48">
        <f>'2026'!S57</f>
        <v>62466882.099999994</v>
      </c>
      <c r="H57" s="148">
        <f>SUM('2026'!G133:I133)</f>
        <v>46610739.410000004</v>
      </c>
      <c r="I57" s="197">
        <f t="shared" si="0"/>
        <v>15856142.68999999</v>
      </c>
      <c r="J57" s="199">
        <f t="shared" si="1"/>
        <v>0.34018217455263478</v>
      </c>
      <c r="K57" s="148">
        <f>SUM('2025'!G57:I57)</f>
        <v>70612898.030000001</v>
      </c>
      <c r="L57" s="197">
        <f t="shared" si="7"/>
        <v>-8146015.9300000072</v>
      </c>
      <c r="M57" s="201">
        <f t="shared" si="2"/>
        <v>-0.11536158630026994</v>
      </c>
      <c r="N57" s="148">
        <f>'2026'!I57</f>
        <v>21888119.359999999</v>
      </c>
      <c r="O57" s="148">
        <f>'2026'!I133</f>
        <v>3910736.7399999998</v>
      </c>
      <c r="P57" s="197">
        <f t="shared" si="6"/>
        <v>17977382.620000001</v>
      </c>
      <c r="Q57" s="199" t="str">
        <f t="shared" si="3"/>
        <v>...</v>
      </c>
      <c r="R57" s="148">
        <f>'2025'!I57</f>
        <v>31402266.420000002</v>
      </c>
      <c r="S57" s="197">
        <f t="shared" si="4"/>
        <v>-9514147.0600000024</v>
      </c>
      <c r="T57" s="201">
        <f t="shared" si="5"/>
        <v>-0.3029764454816698</v>
      </c>
      <c r="W57" s="470"/>
      <c r="Y57" s="470"/>
    </row>
    <row r="58" spans="1:25" ht="15.7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313">
        <f>'2026'!S58</f>
        <v>14788482.199999999</v>
      </c>
      <c r="H58" s="313">
        <f>SUM('2026'!G134:I134)</f>
        <v>24827901.579999998</v>
      </c>
      <c r="I58" s="314">
        <f t="shared" ref="I58:I66" si="9">+G58-H58</f>
        <v>-10039419.379999999</v>
      </c>
      <c r="J58" s="315">
        <f t="shared" si="1"/>
        <v>-0.40436036640676898</v>
      </c>
      <c r="K58" s="313">
        <f>SUM('2025'!G58:I58)</f>
        <v>1042170.92</v>
      </c>
      <c r="L58" s="314">
        <f t="shared" ref="L58:L66" si="10">+G58-K58</f>
        <v>13746311.279999999</v>
      </c>
      <c r="M58" s="481" t="str">
        <f t="shared" si="2"/>
        <v>...</v>
      </c>
      <c r="N58" s="313">
        <f>'2026'!I58</f>
        <v>160000</v>
      </c>
      <c r="O58" s="313">
        <f>'2026'!I134</f>
        <v>21979568.16</v>
      </c>
      <c r="P58" s="314">
        <f t="shared" ref="P58:P66" si="11">+N58-O58</f>
        <v>-21819568.16</v>
      </c>
      <c r="Q58" s="315">
        <f t="shared" si="3"/>
        <v>-0.99272051212128998</v>
      </c>
      <c r="R58" s="313">
        <f>'2025'!I58</f>
        <v>1042170.92</v>
      </c>
      <c r="S58" s="314">
        <f t="shared" ref="S58:S66" si="12">+N58-R58</f>
        <v>-882170.92</v>
      </c>
      <c r="T58" s="481">
        <f t="shared" si="5"/>
        <v>-0.84647431920284244</v>
      </c>
      <c r="W58" s="470"/>
      <c r="Y58" s="470"/>
    </row>
    <row r="59" spans="1:25" ht="15.75" thickBot="1">
      <c r="A59" s="129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313">
        <f>'2026'!S59</f>
        <v>2929246.34</v>
      </c>
      <c r="H59" s="313">
        <f>SUM('2026'!G135:I135)</f>
        <v>2756056.61</v>
      </c>
      <c r="I59" s="314">
        <f t="shared" si="9"/>
        <v>173189.72999999998</v>
      </c>
      <c r="J59" s="315">
        <f t="shared" si="1"/>
        <v>6.2839685284983959E-2</v>
      </c>
      <c r="K59" s="313">
        <f>SUM('2025'!G59:I59)</f>
        <v>2934947.62</v>
      </c>
      <c r="L59" s="314">
        <f t="shared" si="10"/>
        <v>-5701.2800000002608</v>
      </c>
      <c r="M59" s="481">
        <f t="shared" si="2"/>
        <v>-1.9425491484581503E-3</v>
      </c>
      <c r="N59" s="313">
        <f>'2026'!I59</f>
        <v>980871.29</v>
      </c>
      <c r="O59" s="313">
        <f>'2026'!I135</f>
        <v>781055.11</v>
      </c>
      <c r="P59" s="314">
        <f t="shared" si="11"/>
        <v>199816.18000000005</v>
      </c>
      <c r="Q59" s="315">
        <f t="shared" si="3"/>
        <v>0.25582852918022647</v>
      </c>
      <c r="R59" s="313">
        <f>'2025'!I59</f>
        <v>1456725.62</v>
      </c>
      <c r="S59" s="314">
        <f t="shared" si="12"/>
        <v>-475854.33000000007</v>
      </c>
      <c r="T59" s="481">
        <f t="shared" si="5"/>
        <v>-0.32666023269364897</v>
      </c>
      <c r="W59" s="470"/>
      <c r="Y59" s="470"/>
    </row>
    <row r="60" spans="1:25" ht="15.7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98">
        <f>'2026'!S60</f>
        <v>-211526006.49999997</v>
      </c>
      <c r="H60" s="298">
        <f>SUM('2026'!G136:I136)</f>
        <v>-276307070.01380485</v>
      </c>
      <c r="I60" s="300">
        <f t="shared" si="9"/>
        <v>64781063.513804883</v>
      </c>
      <c r="J60" s="301">
        <f t="shared" si="1"/>
        <v>-0.23445315210562034</v>
      </c>
      <c r="K60" s="298">
        <f>SUM('2025'!G60:I60)</f>
        <v>-147896243.55999994</v>
      </c>
      <c r="L60" s="300">
        <f>+G60-K60</f>
        <v>-63629762.940000027</v>
      </c>
      <c r="M60" s="482">
        <f t="shared" si="2"/>
        <v>0.43023244815671124</v>
      </c>
      <c r="N60" s="298">
        <f>'2026'!I60</f>
        <v>-69912801.550000042</v>
      </c>
      <c r="O60" s="298">
        <f>'2026'!I136</f>
        <v>-57804948.368050873</v>
      </c>
      <c r="P60" s="300">
        <f t="shared" si="11"/>
        <v>-12107853.181949168</v>
      </c>
      <c r="Q60" s="301">
        <f t="shared" si="3"/>
        <v>0.20946049644153386</v>
      </c>
      <c r="R60" s="298">
        <f>'2025'!I60</f>
        <v>-71477617.35999997</v>
      </c>
      <c r="S60" s="300">
        <f t="shared" si="12"/>
        <v>1564815.8099999279</v>
      </c>
      <c r="T60" s="482">
        <f t="shared" si="5"/>
        <v>-2.1892389083405961E-2</v>
      </c>
      <c r="W60" s="470"/>
      <c r="Y60" s="470"/>
    </row>
    <row r="61" spans="1:25" ht="15.7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'2026'!S61</f>
        <v>211526006.49999997</v>
      </c>
      <c r="H61" s="136">
        <f>SUM('2026'!G137:I137)</f>
        <v>276307070.01380485</v>
      </c>
      <c r="I61" s="299">
        <f t="shared" si="9"/>
        <v>-64781063.513804883</v>
      </c>
      <c r="J61" s="302">
        <f t="shared" si="1"/>
        <v>-0.23445315210562034</v>
      </c>
      <c r="K61" s="136">
        <f>SUM('2025'!G61:I61)</f>
        <v>147896243.55999994</v>
      </c>
      <c r="L61" s="299">
        <f t="shared" si="10"/>
        <v>63629762.940000027</v>
      </c>
      <c r="M61" s="483">
        <f t="shared" si="2"/>
        <v>0.43023244815671124</v>
      </c>
      <c r="N61" s="136">
        <f>'2026'!I61</f>
        <v>69912801.550000042</v>
      </c>
      <c r="O61" s="136">
        <f>'2026'!I137</f>
        <v>57804948.368050873</v>
      </c>
      <c r="P61" s="300">
        <f t="shared" si="11"/>
        <v>12107853.181949168</v>
      </c>
      <c r="Q61" s="302">
        <f t="shared" si="3"/>
        <v>0.20946049644153386</v>
      </c>
      <c r="R61" s="136">
        <f>'2025'!I61</f>
        <v>71477617.35999997</v>
      </c>
      <c r="S61" s="299">
        <f t="shared" si="12"/>
        <v>-1564815.8099999279</v>
      </c>
      <c r="T61" s="483">
        <f t="shared" si="5"/>
        <v>-2.1892389083405961E-2</v>
      </c>
      <c r="W61" s="470"/>
      <c r="Y61" s="470"/>
    </row>
    <row r="62" spans="1:25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48">
        <f>'2026'!S62</f>
        <v>0</v>
      </c>
      <c r="H62" s="148">
        <f>SUM('2026'!G138:I138)</f>
        <v>0</v>
      </c>
      <c r="I62" s="197">
        <f t="shared" si="9"/>
        <v>0</v>
      </c>
      <c r="J62" s="199" t="str">
        <f t="shared" si="1"/>
        <v>...</v>
      </c>
      <c r="K62" s="148">
        <f>SUM('2025'!G62:I62)</f>
        <v>0</v>
      </c>
      <c r="L62" s="197">
        <f t="shared" si="10"/>
        <v>0</v>
      </c>
      <c r="M62" s="201" t="str">
        <f>IF(+IF(ISERROR(G62/K62),"…",G62/K62-1)&gt;200%,"...",IF(ISERROR(G62/K62),"…",G62/K62-1))</f>
        <v>...</v>
      </c>
      <c r="N62" s="148">
        <f>'2026'!I62</f>
        <v>0</v>
      </c>
      <c r="O62" s="148">
        <f>'2026'!I138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'2025'!I62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148">
        <f>'2026'!S63</f>
        <v>17992005.34</v>
      </c>
      <c r="H63" s="148">
        <f>SUM('2026'!G139:I139)</f>
        <v>100000000</v>
      </c>
      <c r="I63" s="197">
        <f t="shared" si="9"/>
        <v>-82007994.659999996</v>
      </c>
      <c r="J63" s="199">
        <f t="shared" si="1"/>
        <v>-0.82007994659999994</v>
      </c>
      <c r="K63" s="148">
        <f>SUM('2025'!G63:I63)</f>
        <v>17766721.48</v>
      </c>
      <c r="L63" s="197">
        <f t="shared" si="10"/>
        <v>225283.8599999994</v>
      </c>
      <c r="M63" s="201">
        <f t="shared" si="2"/>
        <v>1.2680103093505535E-2</v>
      </c>
      <c r="N63" s="148">
        <f>'2026'!I63</f>
        <v>727491.71</v>
      </c>
      <c r="O63" s="148">
        <f>'2026'!I139</f>
        <v>100000000</v>
      </c>
      <c r="P63" s="197">
        <f t="shared" si="11"/>
        <v>-99272508.290000007</v>
      </c>
      <c r="Q63" s="199">
        <f t="shared" si="3"/>
        <v>-0.99272508290000006</v>
      </c>
      <c r="R63" s="148">
        <f>'2025'!I63</f>
        <v>3541669.7800000003</v>
      </c>
      <c r="S63" s="197">
        <f t="shared" si="12"/>
        <v>-2814178.0700000003</v>
      </c>
      <c r="T63" s="201">
        <f t="shared" si="5"/>
        <v>-0.79459075656680789</v>
      </c>
      <c r="W63" s="470"/>
      <c r="Y63" s="470"/>
    </row>
    <row r="64" spans="1:25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48">
        <f>'2026'!S64</f>
        <v>159959.83000000002</v>
      </c>
      <c r="H64" s="148">
        <f>SUM('2026'!G140:I140)</f>
        <v>1500000</v>
      </c>
      <c r="I64" s="197">
        <f t="shared" si="9"/>
        <v>-1340040.17</v>
      </c>
      <c r="J64" s="199">
        <f t="shared" si="1"/>
        <v>-0.89336011333333332</v>
      </c>
      <c r="K64" s="148">
        <f>SUM('2025'!G64:I64)</f>
        <v>596563.30000000005</v>
      </c>
      <c r="L64" s="197">
        <f t="shared" si="10"/>
        <v>-436603.47000000003</v>
      </c>
      <c r="M64" s="201">
        <f t="shared" si="2"/>
        <v>-0.7318644475783207</v>
      </c>
      <c r="N64" s="148">
        <f>'2026'!I64</f>
        <v>59242.58</v>
      </c>
      <c r="O64" s="148">
        <f>'2026'!I140</f>
        <v>500000</v>
      </c>
      <c r="P64" s="197">
        <f t="shared" si="11"/>
        <v>-440757.42</v>
      </c>
      <c r="Q64" s="199">
        <f t="shared" si="3"/>
        <v>-0.88151484000000002</v>
      </c>
      <c r="R64" s="148">
        <f>'2025'!I64</f>
        <v>56765.9</v>
      </c>
      <c r="S64" s="197">
        <f t="shared" si="12"/>
        <v>2476.6800000000003</v>
      </c>
      <c r="T64" s="201">
        <f t="shared" si="5"/>
        <v>4.3629714317926727E-2</v>
      </c>
      <c r="W64" s="470"/>
      <c r="Y64" s="470"/>
    </row>
    <row r="65" spans="1:25">
      <c r="A65" s="129">
        <v>73</v>
      </c>
      <c r="B65" s="568" t="str">
        <f>+VLOOKUP($A65,Master!$D$30:$G$226,4,FALSE)</f>
        <v>Primici od otplate kredita i sredstva prenesena iz prethodne godine</v>
      </c>
      <c r="C65" s="569"/>
      <c r="D65" s="569"/>
      <c r="E65" s="569"/>
      <c r="F65" s="569"/>
      <c r="G65" s="148">
        <f>'2026'!S65</f>
        <v>4296910.0600000005</v>
      </c>
      <c r="H65" s="148">
        <f>SUM('2026'!G141:I141)</f>
        <v>2436975</v>
      </c>
      <c r="I65" s="197">
        <f t="shared" si="9"/>
        <v>1859935.0600000005</v>
      </c>
      <c r="J65" s="199">
        <f t="shared" si="1"/>
        <v>0.76321466572287378</v>
      </c>
      <c r="K65" s="148">
        <f>SUM('2025'!G65:I65)</f>
        <v>4235496.58</v>
      </c>
      <c r="L65" s="197">
        <f t="shared" si="10"/>
        <v>61413.480000000447</v>
      </c>
      <c r="M65" s="201">
        <f t="shared" si="2"/>
        <v>1.4499711861412967E-2</v>
      </c>
      <c r="N65" s="148">
        <f>'2026'!I65</f>
        <v>850510.46000000008</v>
      </c>
      <c r="O65" s="148">
        <f>'2026'!I141</f>
        <v>812325</v>
      </c>
      <c r="P65" s="197">
        <f t="shared" si="11"/>
        <v>38185.460000000079</v>
      </c>
      <c r="Q65" s="199">
        <f t="shared" si="3"/>
        <v>4.7007613947619653E-2</v>
      </c>
      <c r="R65" s="148">
        <f>'2025'!I65</f>
        <v>623345.78999999992</v>
      </c>
      <c r="S65" s="197">
        <f t="shared" si="12"/>
        <v>227164.67000000016</v>
      </c>
      <c r="T65" s="201">
        <f>IF(+IF(ISERROR(N65/R65),"…",N65/R65-1)&gt;200%,"...",IF(ISERROR(N65/R65),"…",N65/R65-1))</f>
        <v>0.36442801675134473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'2026'!S66</f>
        <v>189077131.26999998</v>
      </c>
      <c r="H66" s="296">
        <f>SUM('2026'!G142:I142)</f>
        <v>172370095.01380485</v>
      </c>
      <c r="I66" s="211">
        <f t="shared" si="9"/>
        <v>16707036.256195128</v>
      </c>
      <c r="J66" s="213">
        <f t="shared" si="1"/>
        <v>9.6925375917772172E-2</v>
      </c>
      <c r="K66" s="296">
        <f>SUM('2025'!G66:I66)</f>
        <v>125297462.19999993</v>
      </c>
      <c r="L66" s="211">
        <f t="shared" si="10"/>
        <v>63779669.070000052</v>
      </c>
      <c r="M66" s="215">
        <f t="shared" si="2"/>
        <v>0.50902602455103896</v>
      </c>
      <c r="N66" s="296">
        <f>'2026'!I66</f>
        <v>68275556.800000042</v>
      </c>
      <c r="O66" s="296">
        <f>'2026'!I142</f>
        <v>-43507376.631949127</v>
      </c>
      <c r="P66" s="211">
        <f t="shared" si="11"/>
        <v>111782933.43194917</v>
      </c>
      <c r="Q66" s="213">
        <f t="shared" si="3"/>
        <v>-2.5692869137474652</v>
      </c>
      <c r="R66" s="296">
        <f>'2025'!I66</f>
        <v>67255835.889999971</v>
      </c>
      <c r="S66" s="211">
        <f t="shared" si="12"/>
        <v>1019720.9100000709</v>
      </c>
      <c r="T66" s="215">
        <f t="shared" si="5"/>
        <v>1.5161820480052768E-2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fKKD2T0PoWdIQsPluDQz882F/t9mf2lyTM3C3WSzbqbQSdmVYDxby/dKSO69sG5n7gcCoERa6anCG5AHGvSt/g==" saltValue="Fu1A7R5yoc9l4rp7FTTLF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77B1-7245-4EDE-88B5-2314847AD7F2}">
  <sheetPr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N18" sqref="N1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2025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8124700000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156749922.07999998</v>
      </c>
      <c r="H10" s="513">
        <f t="shared" ref="H10:L10" si="1">+H11+H19+SUM(H24:H28)</f>
        <v>178347064.72000003</v>
      </c>
      <c r="I10" s="513">
        <f t="shared" si="1"/>
        <v>245353494.29000005</v>
      </c>
      <c r="J10" s="513">
        <f t="shared" si="1"/>
        <v>317114367.18000001</v>
      </c>
      <c r="K10" s="513">
        <f t="shared" si="1"/>
        <v>199531883.55999997</v>
      </c>
      <c r="L10" s="513">
        <f t="shared" si="1"/>
        <v>225901966.91999999</v>
      </c>
      <c r="M10" s="513">
        <f t="shared" ref="M10:R10" si="2">+M11+M19+SUM(M24:M28)</f>
        <v>256796079.27000001</v>
      </c>
      <c r="N10" s="513">
        <f t="shared" si="2"/>
        <v>260028956.03</v>
      </c>
      <c r="O10" s="513">
        <f t="shared" si="2"/>
        <v>261882689.88</v>
      </c>
      <c r="P10" s="513">
        <f t="shared" si="2"/>
        <v>245929060.70999995</v>
      </c>
      <c r="Q10" s="513">
        <f t="shared" si="2"/>
        <v>196120643.80000001</v>
      </c>
      <c r="R10" s="513">
        <f t="shared" si="2"/>
        <v>330234905.69000006</v>
      </c>
      <c r="S10" s="514">
        <f>+SUM(G10:R10)</f>
        <v>2873991034.1300001</v>
      </c>
      <c r="T10" s="515">
        <f>+S10/$T$7*100</f>
        <v>35.373503441727081</v>
      </c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3">+SUM(G12:G18)</f>
        <v>132702629.50999998</v>
      </c>
      <c r="H11" s="516">
        <f t="shared" si="3"/>
        <v>134657233.55000004</v>
      </c>
      <c r="I11" s="516">
        <f t="shared" si="3"/>
        <v>202518041.18000007</v>
      </c>
      <c r="J11" s="516">
        <f>+SUM(J12:J18)</f>
        <v>265707637.31999999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208690353.48000002</v>
      </c>
      <c r="O11" s="516">
        <f t="shared" si="4"/>
        <v>211153557.13</v>
      </c>
      <c r="P11" s="516">
        <f t="shared" si="4"/>
        <v>193702062.07999995</v>
      </c>
      <c r="Q11" s="516">
        <f t="shared" si="4"/>
        <v>154846007.13</v>
      </c>
      <c r="R11" s="517">
        <f t="shared" si="4"/>
        <v>196519134.14000002</v>
      </c>
      <c r="S11" s="518">
        <f>+SUM(G11:R11)</f>
        <v>2238598161.0300002</v>
      </c>
      <c r="T11" s="519">
        <f t="shared" ref="T11:T66" si="5">+S11/$T$7*100</f>
        <v>27.552994707866141</v>
      </c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3030555.430000002</v>
      </c>
      <c r="H12" s="499">
        <v>8431658.620000001</v>
      </c>
      <c r="I12" s="499">
        <v>8822636.5500000045</v>
      </c>
      <c r="J12" s="499">
        <v>10595893.429999994</v>
      </c>
      <c r="K12" s="499">
        <v>7860769.3199999966</v>
      </c>
      <c r="L12" s="148">
        <v>7843776.2899999982</v>
      </c>
      <c r="M12" s="148">
        <v>9900438.6000000034</v>
      </c>
      <c r="N12" s="148">
        <v>9648119.4200000018</v>
      </c>
      <c r="O12" s="148">
        <v>11794721.619999997</v>
      </c>
      <c r="P12" s="148">
        <v>7543936.3199999984</v>
      </c>
      <c r="Q12" s="148">
        <v>9039647.120000001</v>
      </c>
      <c r="R12" s="148">
        <v>17519055.849999994</v>
      </c>
      <c r="S12" s="227">
        <f>+SUM(G12:R12)</f>
        <v>112031208.56999999</v>
      </c>
      <c r="T12" s="436">
        <f t="shared" si="5"/>
        <v>1.3788965570421061</v>
      </c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4758743.2199999988</v>
      </c>
      <c r="H13" s="499">
        <v>4374185.1600000011</v>
      </c>
      <c r="I13" s="499">
        <v>69066545.550000012</v>
      </c>
      <c r="J13" s="499">
        <v>112838365.88</v>
      </c>
      <c r="K13" s="499">
        <v>8765336.6999999993</v>
      </c>
      <c r="L13" s="148">
        <v>10311268.780000001</v>
      </c>
      <c r="M13" s="148">
        <v>5773713.330000001</v>
      </c>
      <c r="N13" s="148">
        <v>2926004.7999999993</v>
      </c>
      <c r="O13" s="148">
        <v>3732962.04</v>
      </c>
      <c r="P13" s="148">
        <v>4156533.9799999995</v>
      </c>
      <c r="Q13" s="148">
        <v>3525815.43</v>
      </c>
      <c r="R13" s="148">
        <v>3201756.7499999986</v>
      </c>
      <c r="S13" s="227">
        <f t="shared" ref="S13:S65" si="6">+SUM(G13:R13)</f>
        <v>233431231.62</v>
      </c>
      <c r="T13" s="436">
        <f t="shared" si="5"/>
        <v>2.8731058576932074</v>
      </c>
      <c r="V13" s="276"/>
      <c r="W13" s="494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96606704.819999978</v>
      </c>
      <c r="H15" s="499">
        <v>90486320.040000021</v>
      </c>
      <c r="I15" s="499">
        <v>95190601.359999999</v>
      </c>
      <c r="J15" s="499">
        <v>101620940.56000002</v>
      </c>
      <c r="K15" s="499">
        <v>103302134.66000001</v>
      </c>
      <c r="L15" s="148">
        <v>114852175.13999997</v>
      </c>
      <c r="M15" s="148">
        <v>136015036.31999999</v>
      </c>
      <c r="N15" s="148">
        <v>142252517.13000005</v>
      </c>
      <c r="O15" s="148">
        <v>149853557.13000003</v>
      </c>
      <c r="P15" s="148">
        <v>134545730.11999997</v>
      </c>
      <c r="Q15" s="148">
        <v>107592791.44000003</v>
      </c>
      <c r="R15" s="148">
        <v>131336012.74000002</v>
      </c>
      <c r="S15" s="227">
        <f t="shared" si="6"/>
        <v>1403654521.4600003</v>
      </c>
      <c r="T15" s="436">
        <f t="shared" si="5"/>
        <v>17.276385853754604</v>
      </c>
      <c r="V15" s="276"/>
      <c r="W15" s="494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23651764.849999998</v>
      </c>
      <c r="H16" s="499">
        <v>25416734.460000001</v>
      </c>
      <c r="I16" s="499">
        <v>22396675.60000002</v>
      </c>
      <c r="J16" s="499">
        <v>33254768.049999993</v>
      </c>
      <c r="K16" s="499">
        <v>31121619.409999996</v>
      </c>
      <c r="L16" s="148">
        <v>37020225.660000019</v>
      </c>
      <c r="M16" s="148">
        <v>41468885.000000015</v>
      </c>
      <c r="N16" s="148">
        <v>46239123.809999965</v>
      </c>
      <c r="O16" s="148">
        <v>38081379.989999987</v>
      </c>
      <c r="P16" s="148">
        <v>39650532.630000003</v>
      </c>
      <c r="Q16" s="148">
        <v>28400492.25</v>
      </c>
      <c r="R16" s="148">
        <v>36470170.959999993</v>
      </c>
      <c r="S16" s="227">
        <f t="shared" si="6"/>
        <v>403172372.66999996</v>
      </c>
      <c r="T16" s="436">
        <f t="shared" si="5"/>
        <v>4.9623047333440002</v>
      </c>
      <c r="V16" s="276"/>
      <c r="W16" s="494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3527264.1999999993</v>
      </c>
      <c r="H17" s="499">
        <v>4794688.6700000009</v>
      </c>
      <c r="I17" s="499">
        <v>5839125.4399999976</v>
      </c>
      <c r="J17" s="499">
        <v>6146881.0000000009</v>
      </c>
      <c r="K17" s="499">
        <v>5626244.9799999995</v>
      </c>
      <c r="L17" s="148">
        <v>6373571.0700000003</v>
      </c>
      <c r="M17" s="148">
        <v>7389935.04</v>
      </c>
      <c r="N17" s="148">
        <v>6176594.8900000006</v>
      </c>
      <c r="O17" s="148">
        <v>6435243.1499999994</v>
      </c>
      <c r="P17" s="148">
        <v>6274901.9399999995</v>
      </c>
      <c r="Q17" s="148">
        <v>4834041.1999999983</v>
      </c>
      <c r="R17" s="148">
        <v>6489077.96</v>
      </c>
      <c r="S17" s="227">
        <f t="shared" si="6"/>
        <v>69907569.539999992</v>
      </c>
      <c r="T17" s="436">
        <f t="shared" si="5"/>
        <v>0.86043262569694867</v>
      </c>
      <c r="V17" s="276"/>
      <c r="W17" s="494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1127596.9900000002</v>
      </c>
      <c r="H18" s="499">
        <v>1153646.5999999999</v>
      </c>
      <c r="I18" s="499">
        <v>1202456.6800000004</v>
      </c>
      <c r="J18" s="499">
        <v>1250788.4000000001</v>
      </c>
      <c r="K18" s="499">
        <v>1302048.17</v>
      </c>
      <c r="L18" s="148">
        <v>1470199.7000000002</v>
      </c>
      <c r="M18" s="148">
        <v>1704127.3399999994</v>
      </c>
      <c r="N18" s="148">
        <v>1447993.4299999997</v>
      </c>
      <c r="O18" s="148">
        <v>1255693.2000000002</v>
      </c>
      <c r="P18" s="148">
        <v>1530427.0900000008</v>
      </c>
      <c r="Q18" s="148">
        <v>1453219.69</v>
      </c>
      <c r="R18" s="148">
        <v>1503059.8799999997</v>
      </c>
      <c r="S18" s="227">
        <f t="shared" si="6"/>
        <v>16401257.17</v>
      </c>
      <c r="T18" s="436">
        <f t="shared" si="5"/>
        <v>0.2018690803352739</v>
      </c>
      <c r="V18" s="276"/>
      <c r="W18" s="494"/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33755127.570000015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34931492.050000019</v>
      </c>
      <c r="N19" s="520">
        <f t="shared" si="7"/>
        <v>36620901.29999999</v>
      </c>
      <c r="O19" s="520">
        <f t="shared" si="7"/>
        <v>35020872.800000004</v>
      </c>
      <c r="P19" s="520">
        <f t="shared" si="7"/>
        <v>34596670.23999998</v>
      </c>
      <c r="Q19" s="520">
        <f t="shared" si="7"/>
        <v>30961281.809999995</v>
      </c>
      <c r="R19" s="520">
        <f t="shared" si="7"/>
        <v>64170339.239999987</v>
      </c>
      <c r="S19" s="521">
        <f t="shared" si="6"/>
        <v>420381280.55000001</v>
      </c>
      <c r="T19" s="522">
        <f t="shared" si="5"/>
        <v>5.1741144971506641</v>
      </c>
      <c r="V19" s="276"/>
      <c r="W19" s="494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14262452.49</v>
      </c>
      <c r="H20" s="499">
        <v>29554149.210000001</v>
      </c>
      <c r="I20" s="499">
        <v>27476313.780000001</v>
      </c>
      <c r="J20" s="499">
        <v>28513630.080000013</v>
      </c>
      <c r="K20" s="499">
        <v>27075161.030000001</v>
      </c>
      <c r="L20" s="148">
        <v>28518289.399999991</v>
      </c>
      <c r="M20" s="148">
        <v>29314001.12000002</v>
      </c>
      <c r="N20" s="148">
        <v>30908485.43999999</v>
      </c>
      <c r="O20" s="148">
        <v>29269872.190000001</v>
      </c>
      <c r="P20" s="148">
        <v>28683629.949999984</v>
      </c>
      <c r="Q20" s="148">
        <v>25906266.569999997</v>
      </c>
      <c r="R20" s="148">
        <v>53818912.589999989</v>
      </c>
      <c r="S20" s="227">
        <f>+SUM(G20:R20)</f>
        <v>353301163.84999996</v>
      </c>
      <c r="T20" s="436">
        <f t="shared" si="5"/>
        <v>4.3484825759720351</v>
      </c>
      <c r="V20" s="276"/>
      <c r="W20" s="494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314658.87999999989</v>
      </c>
      <c r="H21" s="499">
        <v>1154569.9300000002</v>
      </c>
      <c r="I21" s="499">
        <v>583561.46999999939</v>
      </c>
      <c r="J21" s="499">
        <v>524440.96000000008</v>
      </c>
      <c r="K21" s="499">
        <v>499269.08</v>
      </c>
      <c r="L21" s="148">
        <v>572757.14</v>
      </c>
      <c r="M21" s="148">
        <v>514025.99000000017</v>
      </c>
      <c r="N21" s="148">
        <v>478138.36999999994</v>
      </c>
      <c r="O21" s="148">
        <v>536571.03000000014</v>
      </c>
      <c r="P21" s="148">
        <v>591623.40999999992</v>
      </c>
      <c r="Q21" s="148">
        <v>423550.16999999993</v>
      </c>
      <c r="R21" s="148">
        <v>1273029.8600000003</v>
      </c>
      <c r="S21" s="227">
        <f t="shared" si="6"/>
        <v>7466196.29</v>
      </c>
      <c r="T21" s="436">
        <f t="shared" si="5"/>
        <v>9.1895039693773314E-2</v>
      </c>
      <c r="V21" s="276"/>
      <c r="W21" s="494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1216722.5599999998</v>
      </c>
      <c r="H22" s="499">
        <v>2764148.0300000003</v>
      </c>
      <c r="I22" s="499">
        <v>2567338.7400000002</v>
      </c>
      <c r="J22" s="499">
        <v>2726994.09</v>
      </c>
      <c r="K22" s="499">
        <v>2429549.14</v>
      </c>
      <c r="L22" s="148">
        <v>2974122.7600000002</v>
      </c>
      <c r="M22" s="148">
        <v>2992596.3199999994</v>
      </c>
      <c r="N22" s="148">
        <v>3041994</v>
      </c>
      <c r="O22" s="148">
        <v>3032409.4099999983</v>
      </c>
      <c r="P22" s="148">
        <v>3092583.3099999977</v>
      </c>
      <c r="Q22" s="148">
        <v>2699467.23</v>
      </c>
      <c r="R22" s="148">
        <v>5217248.6699999981</v>
      </c>
      <c r="S22" s="227">
        <f t="shared" si="6"/>
        <v>34755174.25999999</v>
      </c>
      <c r="T22" s="436">
        <f t="shared" si="5"/>
        <v>0.42777178554285072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819141.76</v>
      </c>
      <c r="H23" s="499">
        <v>1881585.6099999996</v>
      </c>
      <c r="I23" s="499">
        <v>1805929.1400000001</v>
      </c>
      <c r="J23" s="499">
        <v>1990062.4400000002</v>
      </c>
      <c r="K23" s="499">
        <v>1768003.91</v>
      </c>
      <c r="L23" s="148">
        <v>2086871.4799999997</v>
      </c>
      <c r="M23" s="148">
        <v>2110868.6199999996</v>
      </c>
      <c r="N23" s="148">
        <v>2192283.4900000002</v>
      </c>
      <c r="O23" s="148">
        <v>2182020.1699999995</v>
      </c>
      <c r="P23" s="148">
        <v>2228833.5700000003</v>
      </c>
      <c r="Q23" s="148">
        <v>1931997.8400000003</v>
      </c>
      <c r="R23" s="148">
        <v>3861148.1199999996</v>
      </c>
      <c r="S23" s="227">
        <f t="shared" si="6"/>
        <v>24858746.149999999</v>
      </c>
      <c r="T23" s="436">
        <f t="shared" si="5"/>
        <v>0.305965095942004</v>
      </c>
      <c r="V23" s="495"/>
      <c r="W23" s="494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876568.74000000034</v>
      </c>
      <c r="H24" s="160">
        <v>1052557.3699999999</v>
      </c>
      <c r="I24" s="160">
        <v>1107384.3999999997</v>
      </c>
      <c r="J24" s="160">
        <v>1282834.4600000002</v>
      </c>
      <c r="K24" s="160">
        <v>1223227.8200000003</v>
      </c>
      <c r="L24" s="523">
        <v>1517861.1799999995</v>
      </c>
      <c r="M24" s="523">
        <v>1891582.0999999994</v>
      </c>
      <c r="N24" s="523">
        <v>1783600.3899999997</v>
      </c>
      <c r="O24" s="523">
        <v>1722264.71</v>
      </c>
      <c r="P24" s="523">
        <v>1671469.5499999998</v>
      </c>
      <c r="Q24" s="523">
        <v>1247965.6299999997</v>
      </c>
      <c r="R24" s="523">
        <v>2009599.2599999993</v>
      </c>
      <c r="S24" s="521">
        <f t="shared" si="6"/>
        <v>17386915.609999996</v>
      </c>
      <c r="T24" s="522">
        <f t="shared" si="5"/>
        <v>0.21400070907233493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4273770.1400000006</v>
      </c>
      <c r="H25" s="160">
        <v>3496530.7999999993</v>
      </c>
      <c r="I25" s="160">
        <v>4383671.12</v>
      </c>
      <c r="J25" s="160">
        <v>7314217.71</v>
      </c>
      <c r="K25" s="160">
        <v>4743652.4699999988</v>
      </c>
      <c r="L25" s="523">
        <v>7205854.8600000013</v>
      </c>
      <c r="M25" s="523">
        <v>6884049.870000002</v>
      </c>
      <c r="N25" s="523">
        <v>6686850.2999999989</v>
      </c>
      <c r="O25" s="523">
        <v>7408352.6699999999</v>
      </c>
      <c r="P25" s="523">
        <v>7790053.5899999989</v>
      </c>
      <c r="Q25" s="523">
        <v>5619437.5200000005</v>
      </c>
      <c r="R25" s="523">
        <v>10024472.729999997</v>
      </c>
      <c r="S25" s="521">
        <f t="shared" si="6"/>
        <v>75830913.780000001</v>
      </c>
      <c r="T25" s="522">
        <f t="shared" si="5"/>
        <v>0.93333801592674193</v>
      </c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2283977.9999999995</v>
      </c>
      <c r="H26" s="160">
        <v>2933440.1100000003</v>
      </c>
      <c r="I26" s="160">
        <v>2893396.9999999991</v>
      </c>
      <c r="J26" s="160">
        <v>8456369.5600000005</v>
      </c>
      <c r="K26" s="160">
        <v>3091396.080000001</v>
      </c>
      <c r="L26" s="523">
        <v>4106724.4900000007</v>
      </c>
      <c r="M26" s="523">
        <v>7202667.7500000075</v>
      </c>
      <c r="N26" s="523">
        <v>3896876.9700000021</v>
      </c>
      <c r="O26" s="523">
        <v>4916026.4600000009</v>
      </c>
      <c r="P26" s="523">
        <v>3690766.850000001</v>
      </c>
      <c r="Q26" s="523">
        <v>2624719.7699999991</v>
      </c>
      <c r="R26" s="523">
        <v>8377542.9800000023</v>
      </c>
      <c r="S26" s="521">
        <f t="shared" si="6"/>
        <v>54473906.020000011</v>
      </c>
      <c r="T26" s="522">
        <f t="shared" si="5"/>
        <v>0.67047283001218516</v>
      </c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0</v>
      </c>
      <c r="H28" s="160">
        <v>852850.1100000001</v>
      </c>
      <c r="I28" s="160">
        <v>2017857.4600000002</v>
      </c>
      <c r="J28" s="160">
        <v>598180.56000000006</v>
      </c>
      <c r="K28" s="160">
        <v>723470.78999999992</v>
      </c>
      <c r="L28" s="523">
        <v>1048268.9699999996</v>
      </c>
      <c r="M28" s="523">
        <v>3634151.87</v>
      </c>
      <c r="N28" s="523">
        <v>2350373.59</v>
      </c>
      <c r="O28" s="523">
        <v>1661616.11</v>
      </c>
      <c r="P28" s="523">
        <v>4478038.4000000041</v>
      </c>
      <c r="Q28" s="523">
        <v>821231.94</v>
      </c>
      <c r="R28" s="523">
        <v>49133817.340000026</v>
      </c>
      <c r="S28" s="521">
        <f t="shared" si="6"/>
        <v>67319857.14000003</v>
      </c>
      <c r="T28" s="524">
        <f t="shared" si="5"/>
        <v>0.82858268169901694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154384467.93999997</v>
      </c>
      <c r="H29" s="136">
        <f t="shared" ref="H29:L29" si="8">+H30+H40+H46+SUM(H47:H51)</f>
        <v>212751906.03</v>
      </c>
      <c r="I29" s="136">
        <f t="shared" si="8"/>
        <v>278509462.04000002</v>
      </c>
      <c r="J29" s="136">
        <f t="shared" si="8"/>
        <v>284490758.29000008</v>
      </c>
      <c r="K29" s="136">
        <f t="shared" si="8"/>
        <v>236030617.63999996</v>
      </c>
      <c r="L29" s="136">
        <f t="shared" si="8"/>
        <v>267277962.37000003</v>
      </c>
      <c r="M29" s="136">
        <f t="shared" ref="M29:R29" si="9">+M30+M40+M46+SUM(M47:M51)</f>
        <v>242521199.67000002</v>
      </c>
      <c r="N29" s="136">
        <f t="shared" si="9"/>
        <v>235435973.85000002</v>
      </c>
      <c r="O29" s="136">
        <f t="shared" si="9"/>
        <v>276548797.13999999</v>
      </c>
      <c r="P29" s="136">
        <f t="shared" si="9"/>
        <v>277872373.45999998</v>
      </c>
      <c r="Q29" s="136">
        <f t="shared" si="9"/>
        <v>248501805.85000005</v>
      </c>
      <c r="R29" s="136">
        <f t="shared" si="9"/>
        <v>481482800.30000019</v>
      </c>
      <c r="S29" s="525">
        <f t="shared" si="6"/>
        <v>3195808124.5800004</v>
      </c>
      <c r="T29" s="526">
        <f t="shared" si="5"/>
        <v>39.334475421615572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0">+SUM(G31:G39)</f>
        <v>62038273.419999987</v>
      </c>
      <c r="H30" s="172">
        <f t="shared" ref="H30:L30" si="11">+SUM(H31:H39)</f>
        <v>75174121.810000017</v>
      </c>
      <c r="I30" s="172">
        <f t="shared" si="11"/>
        <v>110896202.17000002</v>
      </c>
      <c r="J30" s="172">
        <f t="shared" si="11"/>
        <v>122533148.02000006</v>
      </c>
      <c r="K30" s="172">
        <f t="shared" si="11"/>
        <v>91191485.619999975</v>
      </c>
      <c r="L30" s="172">
        <f t="shared" si="11"/>
        <v>96474017.219999999</v>
      </c>
      <c r="M30" s="172">
        <f t="shared" ref="M30:R30" si="12">+SUM(M31:M39)</f>
        <v>91812875.599999994</v>
      </c>
      <c r="N30" s="172">
        <f t="shared" si="12"/>
        <v>83390727.220000014</v>
      </c>
      <c r="O30" s="172">
        <f t="shared" si="12"/>
        <v>103621228.65000001</v>
      </c>
      <c r="P30" s="172">
        <f t="shared" si="12"/>
        <v>111468256.39999996</v>
      </c>
      <c r="Q30" s="172">
        <f t="shared" si="12"/>
        <v>97707350.410000026</v>
      </c>
      <c r="R30" s="231">
        <f t="shared" si="12"/>
        <v>204346083.25000015</v>
      </c>
      <c r="S30" s="527">
        <f t="shared" si="6"/>
        <v>1250653769.7900004</v>
      </c>
      <c r="T30" s="519">
        <f t="shared" si="5"/>
        <v>15.393230147451604</v>
      </c>
      <c r="U30" s="472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55835995.219999984</v>
      </c>
      <c r="H31" s="499">
        <v>57528909.890000023</v>
      </c>
      <c r="I31" s="499">
        <v>56240253.310000017</v>
      </c>
      <c r="J31" s="499">
        <v>57954305.050000042</v>
      </c>
      <c r="K31" s="499">
        <v>57928887.86999999</v>
      </c>
      <c r="L31" s="499">
        <v>57840380.260000005</v>
      </c>
      <c r="M31" s="499">
        <v>56104167.339999989</v>
      </c>
      <c r="N31" s="499">
        <v>55952683.13000001</v>
      </c>
      <c r="O31" s="499">
        <v>55652686.990000017</v>
      </c>
      <c r="P31" s="499">
        <v>58246792.709999979</v>
      </c>
      <c r="Q31" s="499">
        <v>57733313.040000014</v>
      </c>
      <c r="R31" s="148">
        <v>60027397.519999988</v>
      </c>
      <c r="S31" s="227">
        <f t="shared" si="6"/>
        <v>687045772.32999992</v>
      </c>
      <c r="T31" s="436">
        <f t="shared" si="5"/>
        <v>8.4562601982842427</v>
      </c>
      <c r="U31" s="47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31766.52</v>
      </c>
      <c r="H32" s="499">
        <v>1842166.1700000016</v>
      </c>
      <c r="I32" s="499">
        <v>1859578.6300000001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2785504.1199999996</v>
      </c>
      <c r="O32" s="499">
        <v>1966705.3199999996</v>
      </c>
      <c r="P32" s="499">
        <v>2922026.1099999994</v>
      </c>
      <c r="Q32" s="499">
        <v>2200810.23</v>
      </c>
      <c r="R32" s="148">
        <v>5617411.1200000001</v>
      </c>
      <c r="S32" s="227">
        <f t="shared" si="6"/>
        <v>27625431.150000002</v>
      </c>
      <c r="T32" s="436">
        <f t="shared" si="5"/>
        <v>0.34001786096717423</v>
      </c>
      <c r="U32" s="472"/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39625.339999999997</v>
      </c>
      <c r="H33" s="499">
        <v>1486386.8600000003</v>
      </c>
      <c r="I33" s="499">
        <v>4592010.7300000004</v>
      </c>
      <c r="J33" s="499">
        <v>3866754.5999999996</v>
      </c>
      <c r="K33" s="499">
        <v>2644539.75</v>
      </c>
      <c r="L33" s="499">
        <v>2839973.1600000006</v>
      </c>
      <c r="M33" s="499">
        <v>3117960.62</v>
      </c>
      <c r="N33" s="499">
        <v>3610133.73</v>
      </c>
      <c r="O33" s="499">
        <v>5631680.8300000001</v>
      </c>
      <c r="P33" s="499">
        <v>2816163.0100000002</v>
      </c>
      <c r="Q33" s="499">
        <v>5437931.8099999987</v>
      </c>
      <c r="R33" s="148">
        <v>10078873.640000002</v>
      </c>
      <c r="S33" s="227">
        <f t="shared" si="6"/>
        <v>46162034.080000006</v>
      </c>
      <c r="T33" s="436">
        <f t="shared" si="5"/>
        <v>0.56816909030487284</v>
      </c>
      <c r="U33" s="472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1240942.3700000001</v>
      </c>
      <c r="H34" s="499">
        <v>3161827.2499999995</v>
      </c>
      <c r="I34" s="499">
        <v>5712383.1800000016</v>
      </c>
      <c r="J34" s="499">
        <v>8509262.9799999986</v>
      </c>
      <c r="K34" s="499">
        <v>6665434.2199999997</v>
      </c>
      <c r="L34" s="499">
        <v>7561097.5499999989</v>
      </c>
      <c r="M34" s="499">
        <v>7217242.1999999993</v>
      </c>
      <c r="N34" s="499">
        <v>5739223.7700000005</v>
      </c>
      <c r="O34" s="499">
        <v>8395195.1900000013</v>
      </c>
      <c r="P34" s="499">
        <v>9149927.5100000016</v>
      </c>
      <c r="Q34" s="499">
        <v>8040522.5300000003</v>
      </c>
      <c r="R34" s="148">
        <v>30218573.289999995</v>
      </c>
      <c r="S34" s="227">
        <f t="shared" si="6"/>
        <v>101611632.04000001</v>
      </c>
      <c r="T34" s="436">
        <f t="shared" si="5"/>
        <v>1.2506508799094123</v>
      </c>
      <c r="U34" s="472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>
        <v>3156152.7800000003</v>
      </c>
      <c r="R35" s="148">
        <v>9490390.6999999993</v>
      </c>
      <c r="S35" s="227">
        <f t="shared" si="6"/>
        <v>35613624.579999998</v>
      </c>
      <c r="T35" s="436">
        <f t="shared" si="5"/>
        <v>0.43833771806959027</v>
      </c>
      <c r="U35" s="472"/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3788619.5500000003</v>
      </c>
      <c r="H36" s="499">
        <v>3320549.13</v>
      </c>
      <c r="I36" s="499">
        <v>24471807.800000001</v>
      </c>
      <c r="J36" s="499">
        <v>33272514.919999998</v>
      </c>
      <c r="K36" s="499">
        <v>10340576.270000001</v>
      </c>
      <c r="L36" s="499">
        <v>5428174.1699999999</v>
      </c>
      <c r="M36" s="499">
        <v>4924646.7800000012</v>
      </c>
      <c r="N36" s="499">
        <v>2716052.2899999996</v>
      </c>
      <c r="O36" s="499">
        <v>23271613.460000001</v>
      </c>
      <c r="P36" s="499">
        <v>15439495.569999998</v>
      </c>
      <c r="Q36" s="499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1.9827899816608614</v>
      </c>
      <c r="U36" s="472"/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17739.240000000002</v>
      </c>
      <c r="H37" s="499">
        <v>658913.61</v>
      </c>
      <c r="I37" s="499">
        <v>1423673.45</v>
      </c>
      <c r="J37" s="499">
        <v>1026043.09</v>
      </c>
      <c r="K37" s="499">
        <v>804963.71999999986</v>
      </c>
      <c r="L37" s="499">
        <v>1422017.38</v>
      </c>
      <c r="M37" s="499">
        <v>1142860.7000000002</v>
      </c>
      <c r="N37" s="499">
        <v>749974.72999999975</v>
      </c>
      <c r="O37" s="499">
        <v>1352660.5799999996</v>
      </c>
      <c r="P37" s="499">
        <v>1141838.8899999999</v>
      </c>
      <c r="Q37" s="499">
        <v>1213486.8699999999</v>
      </c>
      <c r="R37" s="148">
        <v>3981268.7499999991</v>
      </c>
      <c r="S37" s="227">
        <f t="shared" si="6"/>
        <v>14935441.009999998</v>
      </c>
      <c r="T37" s="436">
        <f t="shared" si="5"/>
        <v>0.18382759991138134</v>
      </c>
      <c r="U37" s="472"/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651862.93000000005</v>
      </c>
      <c r="H38" s="499">
        <v>4133251.8900000006</v>
      </c>
      <c r="I38" s="499">
        <v>6084455.6400000006</v>
      </c>
      <c r="J38" s="499">
        <v>6925339.3099999977</v>
      </c>
      <c r="K38" s="499">
        <v>4645561.2299999995</v>
      </c>
      <c r="L38" s="499">
        <v>5186790.0599999987</v>
      </c>
      <c r="M38" s="499">
        <v>6248831.4699999969</v>
      </c>
      <c r="N38" s="499">
        <v>4290997.3299999936</v>
      </c>
      <c r="O38" s="499">
        <v>1662216.29</v>
      </c>
      <c r="P38" s="499">
        <v>9523418.4199999999</v>
      </c>
      <c r="Q38" s="499">
        <v>7111415.4199999999</v>
      </c>
      <c r="R38" s="148">
        <v>34674373.590000145</v>
      </c>
      <c r="S38" s="227">
        <f t="shared" si="6"/>
        <v>91138513.580000132</v>
      </c>
      <c r="T38" s="436">
        <f t="shared" si="5"/>
        <v>1.1217462008443404</v>
      </c>
      <c r="U38" s="472"/>
    </row>
    <row r="39" spans="1:23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430001.24</v>
      </c>
      <c r="H39" s="499">
        <v>2093270.5499999993</v>
      </c>
      <c r="I39" s="499">
        <v>7275150.3600000003</v>
      </c>
      <c r="J39" s="499">
        <v>5903016.0799999991</v>
      </c>
      <c r="K39" s="499">
        <v>4254401.9099999992</v>
      </c>
      <c r="L39" s="499">
        <v>10322038.519999998</v>
      </c>
      <c r="M39" s="499">
        <v>8804470.0299999975</v>
      </c>
      <c r="N39" s="499">
        <v>4749607.7800000012</v>
      </c>
      <c r="O39" s="499">
        <v>3845674.19</v>
      </c>
      <c r="P39" s="499">
        <v>8798128.0500000007</v>
      </c>
      <c r="Q39" s="499">
        <v>4890298.6499999994</v>
      </c>
      <c r="R39" s="148">
        <v>24059526.020000003</v>
      </c>
      <c r="S39" s="227">
        <f t="shared" si="6"/>
        <v>85425583.379999995</v>
      </c>
      <c r="T39" s="436">
        <f t="shared" si="5"/>
        <v>1.051430617499723</v>
      </c>
      <c r="U39" s="472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82167964.540000007</v>
      </c>
      <c r="H40" s="178">
        <f t="shared" ref="H40:L40" si="13">+SUM(H41:H45)</f>
        <v>94348979.949999958</v>
      </c>
      <c r="I40" s="178">
        <f t="shared" si="13"/>
        <v>92698392.189999998</v>
      </c>
      <c r="J40" s="178">
        <f t="shared" si="13"/>
        <v>90293045.51000002</v>
      </c>
      <c r="K40" s="178">
        <f t="shared" si="13"/>
        <v>90665419.499999985</v>
      </c>
      <c r="L40" s="178">
        <f t="shared" si="13"/>
        <v>93385424.450000003</v>
      </c>
      <c r="M40" s="178">
        <f t="shared" ref="M40:R40" si="14">+SUM(M41:M45)</f>
        <v>92683231.180000022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87451565.550000012</v>
      </c>
      <c r="R40" s="178">
        <f t="shared" si="14"/>
        <v>99948808.680000007</v>
      </c>
      <c r="S40" s="528">
        <f t="shared" si="6"/>
        <v>1107596371.1500001</v>
      </c>
      <c r="T40" s="529">
        <f t="shared" si="5"/>
        <v>13.632458689551616</v>
      </c>
      <c r="U40" s="472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19199401.200000003</v>
      </c>
      <c r="H41" s="499">
        <v>22395140.600000005</v>
      </c>
      <c r="I41" s="499">
        <v>21236015.860000007</v>
      </c>
      <c r="J41" s="499">
        <v>19874612.219999999</v>
      </c>
      <c r="K41" s="499">
        <v>19544794.68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22440561.820000004</v>
      </c>
      <c r="Q41" s="499">
        <v>13869495.760000002</v>
      </c>
      <c r="R41" s="148">
        <v>21112054.329999998</v>
      </c>
      <c r="S41" s="227">
        <f t="shared" si="6"/>
        <v>241353335.31</v>
      </c>
      <c r="T41" s="436">
        <f t="shared" si="5"/>
        <v>2.9706122725762181</v>
      </c>
      <c r="U41" s="472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0.31587765542112328</v>
      </c>
      <c r="U42" s="472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62931303.340000004</v>
      </c>
      <c r="H43" s="499">
        <v>65497529.849999964</v>
      </c>
      <c r="I43" s="499">
        <v>65458140.899999999</v>
      </c>
      <c r="J43" s="499">
        <v>65623487.38000001</v>
      </c>
      <c r="K43" s="499">
        <v>65646943.669999987</v>
      </c>
      <c r="L43" s="499">
        <v>66986411.460000008</v>
      </c>
      <c r="M43" s="499">
        <v>66789126.960000016</v>
      </c>
      <c r="N43" s="499">
        <v>66911161.070000008</v>
      </c>
      <c r="O43" s="499">
        <v>67160706.24000001</v>
      </c>
      <c r="P43" s="499">
        <v>67815727.029999986</v>
      </c>
      <c r="Q43" s="499">
        <v>67918600.040000007</v>
      </c>
      <c r="R43" s="148">
        <v>67958544.320000008</v>
      </c>
      <c r="S43" s="227">
        <f t="shared" si="6"/>
        <v>796697682.26000011</v>
      </c>
      <c r="T43" s="436">
        <f t="shared" si="5"/>
        <v>9.8058719984737905</v>
      </c>
      <c r="U43" s="472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0</v>
      </c>
      <c r="H44" s="499">
        <v>2943314.7199999997</v>
      </c>
      <c r="I44" s="499">
        <v>1822777.5999999999</v>
      </c>
      <c r="J44" s="499">
        <v>1453855.4</v>
      </c>
      <c r="K44" s="499">
        <v>1873268.4400000004</v>
      </c>
      <c r="L44" s="499">
        <v>2658340.8699999996</v>
      </c>
      <c r="M44" s="499">
        <v>2206882.3800000004</v>
      </c>
      <c r="N44" s="499">
        <v>2543110.1900000004</v>
      </c>
      <c r="O44" s="499">
        <v>2548955.6000000006</v>
      </c>
      <c r="P44" s="499">
        <v>2451167.83</v>
      </c>
      <c r="Q44" s="499">
        <v>2785028.7300000004</v>
      </c>
      <c r="R44" s="148">
        <v>3751437.46</v>
      </c>
      <c r="S44" s="227">
        <f t="shared" si="6"/>
        <v>27038139.220000003</v>
      </c>
      <c r="T44" s="436">
        <f t="shared" si="5"/>
        <v>0.33278938570039512</v>
      </c>
      <c r="U44" s="472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0</v>
      </c>
      <c r="H45" s="499">
        <v>1367078.8499999996</v>
      </c>
      <c r="I45" s="499">
        <v>2013570.37</v>
      </c>
      <c r="J45" s="499">
        <v>1198303.67</v>
      </c>
      <c r="K45" s="499">
        <v>1509129.4900000002</v>
      </c>
      <c r="L45" s="499">
        <v>1319611.4600000002</v>
      </c>
      <c r="M45" s="499">
        <v>1295328.1099999999</v>
      </c>
      <c r="N45" s="499">
        <v>1574364.1899999997</v>
      </c>
      <c r="O45" s="499">
        <v>1624128.7800000005</v>
      </c>
      <c r="P45" s="499">
        <v>1666929.73</v>
      </c>
      <c r="Q45" s="499">
        <v>842885.63</v>
      </c>
      <c r="R45" s="148">
        <v>2431772.2100000014</v>
      </c>
      <c r="S45" s="227">
        <f t="shared" si="6"/>
        <v>16843102.490000002</v>
      </c>
      <c r="T45" s="436">
        <f t="shared" si="5"/>
        <v>0.20730737738008792</v>
      </c>
      <c r="U45" s="472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32294980.560000002</v>
      </c>
      <c r="O46" s="160">
        <v>40483162.600000001</v>
      </c>
      <c r="P46" s="160">
        <v>41566269.539999999</v>
      </c>
      <c r="Q46" s="160">
        <v>35918614.609999999</v>
      </c>
      <c r="R46" s="160">
        <v>81209867.359999999</v>
      </c>
      <c r="S46" s="521">
        <f t="shared" si="6"/>
        <v>467904530.26000005</v>
      </c>
      <c r="T46" s="522">
        <f t="shared" si="5"/>
        <v>5.7590376292047711</v>
      </c>
      <c r="U46" s="472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125800.66000000002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>
        <v>91427306.780000001</v>
      </c>
      <c r="S47" s="521">
        <f t="shared" si="6"/>
        <v>331775178.20000005</v>
      </c>
      <c r="T47" s="522">
        <f t="shared" si="5"/>
        <v>4.0835375853877691</v>
      </c>
      <c r="U47" s="472"/>
      <c r="V47" s="292"/>
      <c r="W47" s="292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>
        <v>53111.65</v>
      </c>
      <c r="P49" s="499">
        <v>22666.7</v>
      </c>
      <c r="Q49" s="499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9.0523924329513686E-2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1050360.8299999998</v>
      </c>
      <c r="H51" s="430">
        <v>2197777.1399999997</v>
      </c>
      <c r="I51" s="430">
        <v>2186945.5499999998</v>
      </c>
      <c r="J51" s="430">
        <v>1823733.3699999999</v>
      </c>
      <c r="K51" s="430">
        <v>1744824.6599999997</v>
      </c>
      <c r="L51" s="430">
        <v>1298140.2</v>
      </c>
      <c r="M51" s="430">
        <v>3501066.26</v>
      </c>
      <c r="N51" s="430">
        <v>737916.52000000025</v>
      </c>
      <c r="O51" s="430">
        <v>6379172.5600000015</v>
      </c>
      <c r="P51" s="430">
        <v>2068707.7800000005</v>
      </c>
      <c r="Q51" s="430">
        <v>1319744.9099999997</v>
      </c>
      <c r="R51" s="430">
        <v>2152765.16</v>
      </c>
      <c r="S51" s="398">
        <f>+SUM(G51:R51)</f>
        <v>26461154.940000001</v>
      </c>
      <c r="T51" s="440">
        <f t="shared" si="5"/>
        <v>0.3256877785025909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2365454.1400000155</v>
      </c>
      <c r="H53" s="136">
        <f t="shared" si="15"/>
        <v>-34404841.309999973</v>
      </c>
      <c r="I53" s="136">
        <f t="shared" si="15"/>
        <v>-33155967.74999997</v>
      </c>
      <c r="J53" s="136">
        <f t="shared" si="15"/>
        <v>32623608.889999926</v>
      </c>
      <c r="K53" s="136">
        <f t="shared" si="15"/>
        <v>-36498734.079999983</v>
      </c>
      <c r="L53" s="136">
        <f t="shared" si="15"/>
        <v>-41375995.450000048</v>
      </c>
      <c r="M53" s="136">
        <f t="shared" si="15"/>
        <v>14274879.599999994</v>
      </c>
      <c r="N53" s="136">
        <f t="shared" si="15"/>
        <v>24592982.179999977</v>
      </c>
      <c r="O53" s="136">
        <f t="shared" si="15"/>
        <v>-14666107.25999999</v>
      </c>
      <c r="P53" s="136">
        <f t="shared" si="15"/>
        <v>-31943312.75000003</v>
      </c>
      <c r="Q53" s="136">
        <f t="shared" si="15"/>
        <v>-52381162.050000042</v>
      </c>
      <c r="R53" s="136">
        <f t="shared" si="15"/>
        <v>-151247894.61000013</v>
      </c>
      <c r="S53" s="530">
        <f>SUM(G53:R53)</f>
        <v>-321817090.45000029</v>
      </c>
      <c r="T53" s="531">
        <f t="shared" si="5"/>
        <v>-3.9609719798884919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6154073.6900000162</v>
      </c>
      <c r="H54" s="190">
        <f t="shared" si="16"/>
        <v>-31084292.179999974</v>
      </c>
      <c r="I54" s="190">
        <f t="shared" si="16"/>
        <v>-8684159.9499999695</v>
      </c>
      <c r="J54" s="190">
        <f t="shared" si="16"/>
        <v>65896123.809999928</v>
      </c>
      <c r="K54" s="190">
        <f t="shared" si="16"/>
        <v>-26158157.80999998</v>
      </c>
      <c r="L54" s="190">
        <f t="shared" si="16"/>
        <v>-35947821.280000046</v>
      </c>
      <c r="M54" s="190">
        <f t="shared" si="16"/>
        <v>19199526.379999995</v>
      </c>
      <c r="N54" s="190">
        <f t="shared" si="16"/>
        <v>27309034.469999976</v>
      </c>
      <c r="O54" s="190">
        <f t="shared" si="16"/>
        <v>8605506.2000000104</v>
      </c>
      <c r="P54" s="190">
        <f t="shared" si="16"/>
        <v>-16503817.180000031</v>
      </c>
      <c r="Q54" s="190">
        <f t="shared" si="16"/>
        <v>-44457742.970000044</v>
      </c>
      <c r="R54" s="190">
        <f t="shared" si="16"/>
        <v>-125049625.99000013</v>
      </c>
      <c r="S54" s="530">
        <f t="shared" si="6"/>
        <v>-160721352.81000024</v>
      </c>
      <c r="T54" s="531">
        <f t="shared" si="5"/>
        <v>-1.9781819982276299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24725000.399999995</v>
      </c>
      <c r="R55" s="178">
        <f>+SUM(R56:R57)</f>
        <v>30219638.550000001</v>
      </c>
      <c r="S55" s="532">
        <f t="shared" si="6"/>
        <v>803793986.27999997</v>
      </c>
      <c r="T55" s="533">
        <f t="shared" si="5"/>
        <v>9.8932143498221468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2795674.89</v>
      </c>
      <c r="L56" s="554">
        <v>15431758.250000002</v>
      </c>
      <c r="M56" s="554">
        <v>1723907.95</v>
      </c>
      <c r="N56" s="554">
        <v>1755694.7399999998</v>
      </c>
      <c r="O56" s="554">
        <v>4555783.9000000004</v>
      </c>
      <c r="P56" s="554">
        <v>1755147.06</v>
      </c>
      <c r="Q56" s="554">
        <v>2864397.9</v>
      </c>
      <c r="R56" s="196">
        <v>15776242.57</v>
      </c>
      <c r="S56" s="235">
        <f t="shared" si="6"/>
        <v>56819301.560000002</v>
      </c>
      <c r="T56" s="444">
        <f t="shared" si="5"/>
        <v>0.69934030253424739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32635767.399999999</v>
      </c>
      <c r="H57" s="554">
        <v>6574864.2100000009</v>
      </c>
      <c r="I57" s="554">
        <v>31402266.420000002</v>
      </c>
      <c r="J57" s="554">
        <v>505314353.82999998</v>
      </c>
      <c r="K57" s="554">
        <v>46539748.249999993</v>
      </c>
      <c r="L57" s="554">
        <v>22801737.869999997</v>
      </c>
      <c r="M57" s="554">
        <v>32743948.25</v>
      </c>
      <c r="N57" s="554">
        <v>5793930.1200000001</v>
      </c>
      <c r="O57" s="554">
        <v>21549362.939999998</v>
      </c>
      <c r="P57" s="554">
        <v>5314706.95</v>
      </c>
      <c r="Q57" s="554">
        <v>21860602.499999996</v>
      </c>
      <c r="R57" s="554">
        <v>14443395.98</v>
      </c>
      <c r="S57" s="235">
        <f>+SUM(G57:R57)</f>
        <v>746974684.72000003</v>
      </c>
      <c r="T57" s="444">
        <f t="shared" si="5"/>
        <v>9.1938740472879008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32">
        <f>SUM(G58:R58)</f>
        <v>1485604.84</v>
      </c>
      <c r="T58" s="534">
        <f t="shared" si="5"/>
        <v>1.8285042401565598E-2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>
        <v>818668</v>
      </c>
      <c r="S59" s="532">
        <f>SUM(G59:R59)</f>
        <v>9176536.5</v>
      </c>
      <c r="T59" s="534">
        <f t="shared" si="5"/>
        <v>0.11294615801198814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-32255208.549999982</v>
      </c>
      <c r="H60" s="202">
        <f t="shared" ref="H60:S60" si="20">+H53-H55-H58-H59</f>
        <v>-44163417.649999976</v>
      </c>
      <c r="I60" s="202">
        <f t="shared" si="20"/>
        <v>-71477617.35999997</v>
      </c>
      <c r="J60" s="202">
        <f t="shared" si="20"/>
        <v>-475533119.47000009</v>
      </c>
      <c r="K60" s="202">
        <f t="shared" si="20"/>
        <v>-86602691.089999974</v>
      </c>
      <c r="L60" s="202">
        <f t="shared" si="20"/>
        <v>-80747171.630000055</v>
      </c>
      <c r="M60" s="202">
        <f t="shared" si="20"/>
        <v>-20563628.670000009</v>
      </c>
      <c r="N60" s="202">
        <f t="shared" si="20"/>
        <v>17032192.819999978</v>
      </c>
      <c r="O60" s="202">
        <f t="shared" si="20"/>
        <v>-41875026.919999987</v>
      </c>
      <c r="P60" s="202">
        <f t="shared" si="20"/>
        <v>-40414591.960000031</v>
      </c>
      <c r="Q60" s="202">
        <f t="shared" si="20"/>
        <v>-77386689.13000004</v>
      </c>
      <c r="R60" s="202">
        <f t="shared" si="20"/>
        <v>-182286248.46000016</v>
      </c>
      <c r="S60" s="532">
        <f t="shared" si="20"/>
        <v>-1136273218.0700002</v>
      </c>
      <c r="T60" s="535">
        <f t="shared" si="5"/>
        <v>-13.985417530124192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32255208.549999982</v>
      </c>
      <c r="H61" s="136">
        <f t="shared" ref="H61:L61" si="21">+SUM(H62:H66)</f>
        <v>44163417.649999976</v>
      </c>
      <c r="I61" s="136">
        <f t="shared" si="21"/>
        <v>71477617.35999997</v>
      </c>
      <c r="J61" s="136">
        <f t="shared" si="21"/>
        <v>475533119.47000009</v>
      </c>
      <c r="K61" s="136">
        <f t="shared" si="21"/>
        <v>86602691.089999974</v>
      </c>
      <c r="L61" s="136">
        <f t="shared" si="21"/>
        <v>80747171.630000055</v>
      </c>
      <c r="M61" s="136">
        <f t="shared" ref="M61:R61" si="22">+SUM(M62:M66)</f>
        <v>20563628.670000009</v>
      </c>
      <c r="N61" s="136">
        <f t="shared" si="22"/>
        <v>-17032192.819999978</v>
      </c>
      <c r="O61" s="136">
        <f t="shared" si="22"/>
        <v>41875026.919999987</v>
      </c>
      <c r="P61" s="136">
        <f t="shared" si="22"/>
        <v>40414591.960000031</v>
      </c>
      <c r="Q61" s="136">
        <f t="shared" si="22"/>
        <v>77386689.13000004</v>
      </c>
      <c r="R61" s="136">
        <f t="shared" si="22"/>
        <v>182286248.46000016</v>
      </c>
      <c r="S61" s="536">
        <f t="shared" si="6"/>
        <v>1136273218.0700002</v>
      </c>
      <c r="T61" s="537">
        <f t="shared" si="5"/>
        <v>13.985417530124192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49867022</v>
      </c>
      <c r="S62" s="235">
        <f t="shared" si="6"/>
        <v>55994697</v>
      </c>
      <c r="T62" s="444">
        <f t="shared" si="5"/>
        <v>0.68919094858887098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7017571.3999999994</v>
      </c>
      <c r="R63" s="196">
        <v>455783810.64000005</v>
      </c>
      <c r="S63" s="235">
        <f t="shared" si="6"/>
        <v>1413791710.5800002</v>
      </c>
      <c r="T63" s="444">
        <f t="shared" si="5"/>
        <v>17.401155865201179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>
        <v>3374180.95</v>
      </c>
      <c r="R64" s="196">
        <v>5201509.790000001</v>
      </c>
      <c r="S64" s="235">
        <f t="shared" si="6"/>
        <v>10168205.030000001</v>
      </c>
      <c r="T64" s="444">
        <f t="shared" si="5"/>
        <v>0.12515175981882409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870177.48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>
        <v>2924725.4</v>
      </c>
      <c r="S65" s="228">
        <f t="shared" si="6"/>
        <v>20227804.669999998</v>
      </c>
      <c r="T65" s="437">
        <f t="shared" si="5"/>
        <v>0.24896678855834672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27390153.529999983</v>
      </c>
      <c r="H66" s="210">
        <f t="shared" ref="H66:L66" si="23">-H60-SUM(H62:H65)</f>
        <v>30651472.779999975</v>
      </c>
      <c r="I66" s="210">
        <f t="shared" si="23"/>
        <v>67255835.889999971</v>
      </c>
      <c r="J66" s="210">
        <f t="shared" si="23"/>
        <v>-401629314.42000002</v>
      </c>
      <c r="K66" s="210">
        <f t="shared" si="23"/>
        <v>72373920.149999976</v>
      </c>
      <c r="L66" s="210">
        <f t="shared" si="23"/>
        <v>54835462.930000052</v>
      </c>
      <c r="M66" s="210">
        <f t="shared" ref="M66:S66" si="24">-M60-SUM(M62:M65)</f>
        <v>15020507.74000001</v>
      </c>
      <c r="N66" s="210">
        <f t="shared" si="24"/>
        <v>-23506019.679999977</v>
      </c>
      <c r="O66" s="210">
        <f t="shared" si="24"/>
        <v>29808252.229999989</v>
      </c>
      <c r="P66" s="210">
        <f t="shared" si="24"/>
        <v>29091147.93000003</v>
      </c>
      <c r="Q66" s="210">
        <f t="shared" si="24"/>
        <v>66290201.080000043</v>
      </c>
      <c r="R66" s="210">
        <f t="shared" si="24"/>
        <v>-331490819.36999989</v>
      </c>
      <c r="S66" s="238">
        <f t="shared" si="24"/>
        <v>-363909199.21000004</v>
      </c>
      <c r="T66" s="448">
        <f t="shared" si="5"/>
        <v>-4.4790478320430296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2025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221">
        <f>+T7</f>
        <v>8124700000</v>
      </c>
    </row>
    <row r="84" spans="1:25" ht="15.75" customHeight="1">
      <c r="B84" s="641"/>
      <c r="C84" s="642"/>
      <c r="D84" s="642"/>
      <c r="E84" s="642"/>
      <c r="F84" s="643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2" t="str">
        <f>+Master!G247</f>
        <v>Jan - Dec</v>
      </c>
      <c r="T84" s="624">
        <f>+T8</f>
        <v>0</v>
      </c>
    </row>
    <row r="85" spans="1:25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64" t="s">
        <v>101</v>
      </c>
      <c r="C141" s="565"/>
      <c r="D141" s="565"/>
      <c r="E141" s="565"/>
      <c r="F141" s="565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881</v>
      </c>
      <c r="H6" s="219" t="s">
        <v>882</v>
      </c>
      <c r="I6" s="219" t="s">
        <v>883</v>
      </c>
      <c r="J6" s="219" t="s">
        <v>884</v>
      </c>
      <c r="K6" s="219" t="s">
        <v>885</v>
      </c>
      <c r="L6" s="219" t="s">
        <v>886</v>
      </c>
      <c r="M6" s="219" t="s">
        <v>887</v>
      </c>
      <c r="N6" s="219" t="s">
        <v>888</v>
      </c>
      <c r="O6" s="219" t="s">
        <v>889</v>
      </c>
      <c r="P6" s="219" t="s">
        <v>890</v>
      </c>
      <c r="Q6" s="219" t="s">
        <v>891</v>
      </c>
      <c r="R6" s="219" t="s">
        <v>892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2026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8564600000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162646421.13</v>
      </c>
      <c r="H10" s="513">
        <f t="shared" ref="H10:L10" si="1">+H11+H19+SUM(H24:H28)</f>
        <v>191988578.81</v>
      </c>
      <c r="I10" s="513">
        <f t="shared" si="1"/>
        <v>280717223.24000001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635352223.18000007</v>
      </c>
      <c r="T10" s="515">
        <f>+S10/$T$7*100</f>
        <v>7.4183525579711844</v>
      </c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3">+SUM(G12:G18)</f>
        <v>139086135.41999999</v>
      </c>
      <c r="H11" s="516">
        <f t="shared" si="3"/>
        <v>143347719.53999999</v>
      </c>
      <c r="I11" s="516">
        <f t="shared" si="3"/>
        <v>229093563.00000003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511527417.96000004</v>
      </c>
      <c r="T11" s="519">
        <f t="shared" ref="T11:T66" si="5">+S11/$T$7*100</f>
        <v>5.9725780300305917</v>
      </c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3145286.23</v>
      </c>
      <c r="H12" s="499">
        <v>8342027.29</v>
      </c>
      <c r="I12" s="499">
        <v>8405638.6799999997</v>
      </c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19892952.199999999</v>
      </c>
      <c r="T12" s="436">
        <f t="shared" si="5"/>
        <v>0.23226948368867198</v>
      </c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2074964.84</v>
      </c>
      <c r="H13" s="499">
        <v>4713157.24</v>
      </c>
      <c r="I13" s="499">
        <v>80663211.329999998</v>
      </c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87451333.409999996</v>
      </c>
      <c r="T13" s="436">
        <f t="shared" si="5"/>
        <v>1.0210790160661327</v>
      </c>
      <c r="V13" s="276"/>
      <c r="W13" s="494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>
        <v>0</v>
      </c>
      <c r="I14" s="499">
        <v>0</v>
      </c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103563259.63</v>
      </c>
      <c r="H15" s="499">
        <v>97003322.319999993</v>
      </c>
      <c r="I15" s="499">
        <v>101930830.29000001</v>
      </c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302497412.24000001</v>
      </c>
      <c r="T15" s="436">
        <f t="shared" si="5"/>
        <v>3.5319502631763302</v>
      </c>
      <c r="V15" s="276"/>
      <c r="W15" s="494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25853560.699999999</v>
      </c>
      <c r="H16" s="499">
        <v>27185937.870000001</v>
      </c>
      <c r="I16" s="499">
        <v>30174874.149999999</v>
      </c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83214372.719999999</v>
      </c>
      <c r="T16" s="436">
        <f t="shared" si="5"/>
        <v>0.9716083964224832</v>
      </c>
      <c r="V16" s="276"/>
      <c r="W16" s="494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3336289.84</v>
      </c>
      <c r="H17" s="499">
        <v>4897181.9400000004</v>
      </c>
      <c r="I17" s="499">
        <v>6598848.7800000003</v>
      </c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14832320.560000001</v>
      </c>
      <c r="T17" s="436">
        <f t="shared" si="5"/>
        <v>0.17318170796067534</v>
      </c>
      <c r="V17" s="276"/>
      <c r="W17" s="494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1112774.18</v>
      </c>
      <c r="H18" s="499">
        <v>1206092.8799999999</v>
      </c>
      <c r="I18" s="499">
        <v>1320159.77</v>
      </c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3639026.8299999996</v>
      </c>
      <c r="T18" s="436">
        <f t="shared" si="5"/>
        <v>4.248916271629731E-2</v>
      </c>
      <c r="V18" s="276"/>
      <c r="W18" s="494"/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:R19" si="7">SUM(G20:G23)</f>
        <v>15040242.18</v>
      </c>
      <c r="H19" s="520">
        <f t="shared" si="7"/>
        <v>36321915.300000004</v>
      </c>
      <c r="I19" s="520">
        <f t="shared" si="7"/>
        <v>40463891.399999999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91826048.879999995</v>
      </c>
      <c r="T19" s="522">
        <f t="shared" si="5"/>
        <v>1.0721580561847603</v>
      </c>
      <c r="V19" s="276"/>
      <c r="W19" s="494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13458517.189999999</v>
      </c>
      <c r="H20" s="499">
        <v>32046463.960000001</v>
      </c>
      <c r="I20" s="499">
        <v>35392781.869999997</v>
      </c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80897763.019999996</v>
      </c>
      <c r="T20" s="436">
        <f t="shared" si="5"/>
        <v>0.94455973448847574</v>
      </c>
      <c r="V20" s="276"/>
      <c r="W20" s="494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123789.09</v>
      </c>
      <c r="H21" s="499">
        <v>240407.16</v>
      </c>
      <c r="I21" s="499">
        <v>291709.40999999997</v>
      </c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655905.65999999992</v>
      </c>
      <c r="T21" s="436">
        <f t="shared" si="5"/>
        <v>7.6583338392919682E-3</v>
      </c>
      <c r="V21" s="276"/>
      <c r="W21" s="494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861006.73</v>
      </c>
      <c r="H22" s="499">
        <v>2298845.2200000002</v>
      </c>
      <c r="I22" s="499">
        <v>2779991.63</v>
      </c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5939843.5800000001</v>
      </c>
      <c r="T22" s="436">
        <f t="shared" si="5"/>
        <v>6.9353426663241721E-2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596929.17000000004</v>
      </c>
      <c r="H23" s="499">
        <v>1736198.96</v>
      </c>
      <c r="I23" s="499">
        <v>1999408.49</v>
      </c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4332536.62</v>
      </c>
      <c r="T23" s="436">
        <f t="shared" si="5"/>
        <v>5.0586561193751017E-2</v>
      </c>
      <c r="V23" s="495"/>
      <c r="W23" s="494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760921.56</v>
      </c>
      <c r="H24" s="160">
        <v>1050688.3199999998</v>
      </c>
      <c r="I24" s="160">
        <v>1169824.44</v>
      </c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2981434.32</v>
      </c>
      <c r="T24" s="522">
        <f t="shared" si="5"/>
        <v>3.4811133269504704E-2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5754526.1699999999</v>
      </c>
      <c r="H25" s="160">
        <v>4998603.25</v>
      </c>
      <c r="I25" s="160">
        <v>5367759.75</v>
      </c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16120889.17</v>
      </c>
      <c r="T25" s="522">
        <f t="shared" si="5"/>
        <v>0.18822699448894287</v>
      </c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1801256.27</v>
      </c>
      <c r="H26" s="160">
        <v>3846138.14</v>
      </c>
      <c r="I26" s="160">
        <v>4140726.96</v>
      </c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9788121.370000001</v>
      </c>
      <c r="T26" s="522">
        <f t="shared" si="5"/>
        <v>0.11428579700161129</v>
      </c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203339.53</v>
      </c>
      <c r="H28" s="160">
        <v>2423514.2599999998</v>
      </c>
      <c r="I28" s="160">
        <v>481457.69</v>
      </c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3108311.4799999995</v>
      </c>
      <c r="T28" s="524">
        <f t="shared" si="5"/>
        <v>3.6292546995773292E-2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195774164.72999999</v>
      </c>
      <c r="H29" s="136">
        <f t="shared" ref="H29:L29" si="8">+H30+H40+H46+SUM(H47:H51)</f>
        <v>240642538.20999995</v>
      </c>
      <c r="I29" s="136">
        <f t="shared" si="8"/>
        <v>322978773.39000005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759395476.32999992</v>
      </c>
      <c r="T29" s="526">
        <f t="shared" si="5"/>
        <v>8.8666776770660629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0">+SUM(G31:G39)</f>
        <v>70665150.380000025</v>
      </c>
      <c r="H30" s="172">
        <f t="shared" ref="H30:L30" si="11">+SUM(H31:H39)</f>
        <v>88822645.359999985</v>
      </c>
      <c r="I30" s="172">
        <f t="shared" si="11"/>
        <v>151041833.07000002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310529628.81000006</v>
      </c>
      <c r="T30" s="519">
        <f t="shared" si="5"/>
        <v>3.6257341710062354</v>
      </c>
      <c r="U30" s="472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58981304.89000003</v>
      </c>
      <c r="H31" s="499">
        <v>58917306.529999986</v>
      </c>
      <c r="I31" s="499">
        <v>59330909.120000042</v>
      </c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177229520.54000005</v>
      </c>
      <c r="T31" s="436">
        <f t="shared" si="5"/>
        <v>2.0693263029213278</v>
      </c>
      <c r="U31" s="47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481727.61999999994</v>
      </c>
      <c r="H32" s="499">
        <v>2450317.4299999997</v>
      </c>
      <c r="I32" s="499">
        <v>3803748.9</v>
      </c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6735793.9499999993</v>
      </c>
      <c r="T32" s="436">
        <f t="shared" si="5"/>
        <v>7.8646918128108714E-2</v>
      </c>
      <c r="U32" s="472"/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169033.15</v>
      </c>
      <c r="H33" s="499">
        <v>3853934.3400000003</v>
      </c>
      <c r="I33" s="499">
        <v>3565591.7199999988</v>
      </c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7588559.209999999</v>
      </c>
      <c r="T33" s="436">
        <f t="shared" si="5"/>
        <v>8.8603778460173269E-2</v>
      </c>
      <c r="U33" s="472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1768862.99</v>
      </c>
      <c r="H34" s="499">
        <v>6279842.2199999997</v>
      </c>
      <c r="I34" s="499">
        <v>6618147.4100000001</v>
      </c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14666852.620000001</v>
      </c>
      <c r="T34" s="436">
        <f t="shared" si="5"/>
        <v>0.17124970950190321</v>
      </c>
      <c r="U34" s="472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14732.329999999998</v>
      </c>
      <c r="H35" s="499">
        <v>2261365.59</v>
      </c>
      <c r="I35" s="499">
        <v>1879395.3000000003</v>
      </c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4155493.22</v>
      </c>
      <c r="T35" s="436">
        <f t="shared" si="5"/>
        <v>4.8519408028395959E-2</v>
      </c>
      <c r="U35" s="472"/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5774784.6699999999</v>
      </c>
      <c r="H36" s="499">
        <v>2436280.4</v>
      </c>
      <c r="I36" s="499">
        <v>63594317.369999997</v>
      </c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71805382.439999998</v>
      </c>
      <c r="T36" s="436">
        <f t="shared" si="5"/>
        <v>0.83839738505008987</v>
      </c>
      <c r="U36" s="472"/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32745.730000000003</v>
      </c>
      <c r="H37" s="499">
        <v>1232747.8599999999</v>
      </c>
      <c r="I37" s="499">
        <v>1032409.46</v>
      </c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2297903.0499999998</v>
      </c>
      <c r="T37" s="436">
        <f t="shared" si="5"/>
        <v>2.6830243677463044E-2</v>
      </c>
      <c r="U37" s="472"/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2693485.3799999971</v>
      </c>
      <c r="H38" s="499">
        <v>5829293.3599999901</v>
      </c>
      <c r="I38" s="499">
        <v>6148675.1900000041</v>
      </c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14671453.929999992</v>
      </c>
      <c r="T38" s="436">
        <f t="shared" si="5"/>
        <v>0.17130343425262115</v>
      </c>
      <c r="U38" s="472"/>
    </row>
    <row r="39" spans="1:23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748473.61999999988</v>
      </c>
      <c r="H39" s="499">
        <v>5561557.6300000008</v>
      </c>
      <c r="I39" s="499">
        <v>5068638.5999999996</v>
      </c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11378669.850000001</v>
      </c>
      <c r="T39" s="436">
        <f t="shared" si="5"/>
        <v>0.13285699098615233</v>
      </c>
      <c r="U39" s="472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88476330.61999999</v>
      </c>
      <c r="H40" s="178">
        <f t="shared" ref="H40:L40" si="13">+SUM(H41:H45)</f>
        <v>96741550.939999983</v>
      </c>
      <c r="I40" s="178">
        <f t="shared" si="13"/>
        <v>95425470.829999998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280643352.38999999</v>
      </c>
      <c r="T40" s="529">
        <f t="shared" si="5"/>
        <v>3.2767829482988113</v>
      </c>
      <c r="U40" s="472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20152474.369999997</v>
      </c>
      <c r="H41" s="499">
        <v>19876524.400000002</v>
      </c>
      <c r="I41" s="499">
        <v>19305795.789999999</v>
      </c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59334794.559999995</v>
      </c>
      <c r="T41" s="436">
        <f t="shared" si="5"/>
        <v>0.69279119351750218</v>
      </c>
      <c r="U41" s="472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83640</v>
      </c>
      <c r="H42" s="499">
        <v>1951203.29</v>
      </c>
      <c r="I42" s="499">
        <v>2113526.08</v>
      </c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4148369.37</v>
      </c>
      <c r="T42" s="436">
        <f t="shared" si="5"/>
        <v>4.8436230180043435E-2</v>
      </c>
      <c r="U42" s="472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67859588.079999998</v>
      </c>
      <c r="H43" s="499">
        <v>68646685.769999996</v>
      </c>
      <c r="I43" s="499">
        <v>68409043.260000005</v>
      </c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204915317.11000001</v>
      </c>
      <c r="T43" s="436">
        <f t="shared" si="5"/>
        <v>2.3925847921677605</v>
      </c>
      <c r="U43" s="472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380628.17</v>
      </c>
      <c r="H44" s="499">
        <v>3976000.8199999994</v>
      </c>
      <c r="I44" s="499">
        <v>3077011.53</v>
      </c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7433640.5199999996</v>
      </c>
      <c r="T44" s="436">
        <f t="shared" si="5"/>
        <v>8.6794952712327483E-2</v>
      </c>
      <c r="U44" s="472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0</v>
      </c>
      <c r="H45" s="499">
        <v>2291136.6600000011</v>
      </c>
      <c r="I45" s="499">
        <v>2520094.1699999995</v>
      </c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4811230.83</v>
      </c>
      <c r="T45" s="436">
        <f t="shared" si="5"/>
        <v>5.6175779721177876E-2</v>
      </c>
      <c r="U45" s="472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15876937</v>
      </c>
      <c r="H46" s="160">
        <v>46715063.100000001</v>
      </c>
      <c r="I46" s="160">
        <v>43606975.510000005</v>
      </c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106198975.61000001</v>
      </c>
      <c r="T46" s="522">
        <f t="shared" si="5"/>
        <v>1.2399758962473437</v>
      </c>
      <c r="U46" s="472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18581713.800000001</v>
      </c>
      <c r="H47" s="160">
        <v>6422227.709999999</v>
      </c>
      <c r="I47" s="160">
        <v>30298969.989999998</v>
      </c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55302911.5</v>
      </c>
      <c r="T47" s="522">
        <f t="shared" si="5"/>
        <v>0.64571505382621486</v>
      </c>
      <c r="U47" s="472"/>
      <c r="V47" s="292"/>
      <c r="W47" s="292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>
        <v>1959.4</v>
      </c>
      <c r="I49" s="499">
        <v>502000</v>
      </c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503959.4</v>
      </c>
      <c r="T49" s="436">
        <f t="shared" si="5"/>
        <v>5.8842140905588126E-3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0</v>
      </c>
      <c r="H50" s="499">
        <v>0</v>
      </c>
      <c r="I50" s="499">
        <v>0</v>
      </c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0</v>
      </c>
      <c r="T50" s="436">
        <f t="shared" si="5"/>
        <v>0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2174032.9299999997</v>
      </c>
      <c r="H51" s="430">
        <v>1939091.7000000004</v>
      </c>
      <c r="I51" s="430">
        <v>2103523.9900000002</v>
      </c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6216648.6200000001</v>
      </c>
      <c r="T51" s="440">
        <f t="shared" si="5"/>
        <v>7.2585393596898862E-2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/>
      <c r="K52" s="84"/>
      <c r="L52" s="84"/>
      <c r="M52" s="84"/>
      <c r="N52" s="84"/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-33127743.599999994</v>
      </c>
      <c r="H53" s="136">
        <f t="shared" si="15"/>
        <v>-48653959.399999946</v>
      </c>
      <c r="I53" s="136">
        <f t="shared" si="15"/>
        <v>-42261550.150000036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-124043253.14999998</v>
      </c>
      <c r="T53" s="531">
        <f t="shared" si="5"/>
        <v>-1.4483251190948787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-27352958.929999992</v>
      </c>
      <c r="H54" s="190">
        <f t="shared" si="16"/>
        <v>-46217678.999999948</v>
      </c>
      <c r="I54" s="190">
        <f t="shared" si="16"/>
        <v>21332767.219999962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-52237870.709999986</v>
      </c>
      <c r="T54" s="531">
        <f t="shared" si="5"/>
        <v>-0.60992773404478884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17">+SUM(G56:G57)</f>
        <v>35130842.789999999</v>
      </c>
      <c r="H55" s="178">
        <f t="shared" ref="H55:L55" si="18">+SUM(H56:H57)</f>
        <v>8123801.9099999992</v>
      </c>
      <c r="I55" s="178">
        <f t="shared" si="18"/>
        <v>26510380.109999999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Q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69765024.810000002</v>
      </c>
      <c r="T55" s="533">
        <f t="shared" si="5"/>
        <v>0.81457423358942627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1661742.09</v>
      </c>
      <c r="H56" s="554">
        <v>1014139.8699999999</v>
      </c>
      <c r="I56" s="554">
        <v>4622260.75</v>
      </c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7298142.71</v>
      </c>
      <c r="T56" s="444">
        <f t="shared" si="5"/>
        <v>8.5212884548023254E-2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33469100.699999999</v>
      </c>
      <c r="H57" s="554">
        <v>7109662.0399999991</v>
      </c>
      <c r="I57" s="554">
        <v>21888119.359999999</v>
      </c>
      <c r="J57" s="554"/>
      <c r="K57" s="554"/>
      <c r="L57" s="554"/>
      <c r="M57" s="554"/>
      <c r="N57" s="554"/>
      <c r="O57" s="554"/>
      <c r="P57" s="554"/>
      <c r="Q57" s="554"/>
      <c r="R57" s="554"/>
      <c r="S57" s="235">
        <f>+SUM(G57:R57)</f>
        <v>62466882.099999994</v>
      </c>
      <c r="T57" s="444">
        <f t="shared" si="5"/>
        <v>0.72936134904140293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4765189.4800000004</v>
      </c>
      <c r="H58" s="432">
        <v>9863292.7199999988</v>
      </c>
      <c r="I58" s="432">
        <v>160000</v>
      </c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14788482.199999999</v>
      </c>
      <c r="T58" s="534">
        <f t="shared" si="5"/>
        <v>0.17266985264927726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242545.05</v>
      </c>
      <c r="H59" s="499">
        <v>1705830</v>
      </c>
      <c r="I59" s="499">
        <v>980871.29</v>
      </c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2929246.34</v>
      </c>
      <c r="T59" s="534">
        <f t="shared" si="5"/>
        <v>3.4201788057819392E-2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-73266320.919999987</v>
      </c>
      <c r="H60" s="202">
        <f t="shared" ref="H60:S60" si="20">+H53-H55-H58-H59</f>
        <v>-68346884.029999942</v>
      </c>
      <c r="I60" s="202">
        <f t="shared" si="20"/>
        <v>-69912801.550000042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-211526006.49999997</v>
      </c>
      <c r="T60" s="535">
        <f t="shared" si="5"/>
        <v>-2.4697709933914016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73266320.919999987</v>
      </c>
      <c r="H61" s="136">
        <f t="shared" ref="H61:L61" si="21">+SUM(H62:H66)</f>
        <v>68346884.029999942</v>
      </c>
      <c r="I61" s="136">
        <f t="shared" si="21"/>
        <v>69912801.550000042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211526006.49999997</v>
      </c>
      <c r="T61" s="537">
        <f t="shared" si="5"/>
        <v>2.4697709933914016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>
        <v>0</v>
      </c>
      <c r="I62" s="554">
        <v>0</v>
      </c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16583760.119999999</v>
      </c>
      <c r="H63" s="554">
        <v>680753.51</v>
      </c>
      <c r="I63" s="554">
        <v>727491.71</v>
      </c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17992005.34</v>
      </c>
      <c r="T63" s="444">
        <f t="shared" si="5"/>
        <v>0.21007408799009877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36416.97</v>
      </c>
      <c r="H64" s="554">
        <v>64300.280000000013</v>
      </c>
      <c r="I64" s="554">
        <v>59242.58</v>
      </c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159959.83000000002</v>
      </c>
      <c r="T64" s="444">
        <f t="shared" si="5"/>
        <v>1.8676859397987065E-3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2415467.94</v>
      </c>
      <c r="H65" s="160">
        <v>1030931.66</v>
      </c>
      <c r="I65" s="160">
        <v>850510.46000000008</v>
      </c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4296910.0600000005</v>
      </c>
      <c r="T65" s="437">
        <f t="shared" si="5"/>
        <v>5.0170586600658533E-2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54230675.889999986</v>
      </c>
      <c r="H66" s="210">
        <f t="shared" ref="H66:L66" si="23">-H60-SUM(H62:H65)</f>
        <v>66570898.579999939</v>
      </c>
      <c r="I66" s="210">
        <f t="shared" si="23"/>
        <v>68275556.800000042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189077131.26999998</v>
      </c>
      <c r="T66" s="448">
        <f t="shared" si="5"/>
        <v>2.2076586328608454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2026-01p</v>
      </c>
      <c r="H82" s="59" t="str">
        <f t="shared" si="25"/>
        <v>2026-02p</v>
      </c>
      <c r="I82" s="59" t="str">
        <f t="shared" si="25"/>
        <v>2026-03p</v>
      </c>
      <c r="J82" s="59" t="str">
        <f t="shared" si="25"/>
        <v>2026-04p</v>
      </c>
      <c r="K82" s="59" t="str">
        <f t="shared" si="25"/>
        <v>2026-05p</v>
      </c>
      <c r="L82" s="59" t="str">
        <f t="shared" si="25"/>
        <v>2026-06p</v>
      </c>
      <c r="M82" s="59" t="str">
        <f t="shared" si="25"/>
        <v>2026-07p</v>
      </c>
      <c r="N82" s="59" t="str">
        <f t="shared" si="25"/>
        <v>2026-08p</v>
      </c>
      <c r="O82" s="59" t="str">
        <f t="shared" si="25"/>
        <v>2026-09p</v>
      </c>
      <c r="P82" s="59" t="str">
        <f t="shared" si="25"/>
        <v>2026-10p</v>
      </c>
      <c r="Q82" s="59" t="str">
        <f t="shared" si="25"/>
        <v>2026-11p</v>
      </c>
      <c r="R82" s="59" t="str">
        <f t="shared" si="25"/>
        <v>2026-12p</v>
      </c>
    </row>
    <row r="83" spans="1:25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2026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221">
        <f>+T7</f>
        <v>8564600000</v>
      </c>
    </row>
    <row r="84" spans="1:25" ht="15.75" customHeight="1">
      <c r="B84" s="641"/>
      <c r="C84" s="642"/>
      <c r="D84" s="642"/>
      <c r="E84" s="642"/>
      <c r="F84" s="643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2" t="str">
        <f>+Master!G247</f>
        <v>Jan - Dec</v>
      </c>
      <c r="T84" s="624">
        <f>+T8</f>
        <v>0</v>
      </c>
    </row>
    <row r="85" spans="1:25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v>162439252.06999999</v>
      </c>
      <c r="H86" s="504">
        <v>170583961.45999998</v>
      </c>
      <c r="I86" s="504">
        <v>276348555.9319492</v>
      </c>
      <c r="J86" s="504">
        <v>329238762.8309508</v>
      </c>
      <c r="K86" s="504">
        <v>224060640.75950465</v>
      </c>
      <c r="L86" s="504">
        <v>248133744.70422766</v>
      </c>
      <c r="M86" s="504">
        <v>277773867.69335419</v>
      </c>
      <c r="N86" s="504">
        <v>296121565.25832808</v>
      </c>
      <c r="O86" s="504">
        <v>287256220.59865189</v>
      </c>
      <c r="P86" s="504">
        <v>281809436.71842581</v>
      </c>
      <c r="Q86" s="504">
        <v>241740215.4747963</v>
      </c>
      <c r="R86" s="504">
        <v>288940726.51752335</v>
      </c>
      <c r="S86" s="538">
        <f>+SUM(G86:R86)</f>
        <v>3084446950.0177116</v>
      </c>
      <c r="T86" s="539">
        <f>+S86/$T$83*100</f>
        <v>36.013905494917587</v>
      </c>
      <c r="U86" s="276"/>
    </row>
    <row r="87" spans="1:25">
      <c r="A87" s="105" t="str">
        <f t="shared" si="2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v>139086135.41999999</v>
      </c>
      <c r="H87" s="540">
        <v>127958390.96000001</v>
      </c>
      <c r="I87" s="540">
        <v>223279236.3044005</v>
      </c>
      <c r="J87" s="540">
        <v>277228426.81346524</v>
      </c>
      <c r="K87" s="540">
        <v>170981069.24916705</v>
      </c>
      <c r="L87" s="540">
        <v>188645123.38364589</v>
      </c>
      <c r="M87" s="540">
        <v>215251497.32179797</v>
      </c>
      <c r="N87" s="540">
        <v>226687145.4662126</v>
      </c>
      <c r="O87" s="540">
        <v>219262374.17355797</v>
      </c>
      <c r="P87" s="540">
        <v>201681860.98977682</v>
      </c>
      <c r="Q87" s="540">
        <v>164465338.02179495</v>
      </c>
      <c r="R87" s="541">
        <v>202148620.60826007</v>
      </c>
      <c r="S87" s="542">
        <f t="shared" ref="S87:S141" si="28">+SUM(G87:R87)</f>
        <v>2356675218.712079</v>
      </c>
      <c r="T87" s="519">
        <f t="shared" ref="T87:T142" si="29">+S87/$T$83*100</f>
        <v>27.516465669290792</v>
      </c>
      <c r="U87" s="276"/>
    </row>
    <row r="88" spans="1:25">
      <c r="A88" s="105" t="str">
        <f t="shared" si="2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3145286.23</v>
      </c>
      <c r="H88" s="77">
        <v>7501805.6500000004</v>
      </c>
      <c r="I88" s="77">
        <v>9541593.2978226002</v>
      </c>
      <c r="J88" s="77">
        <v>10315826.050880101</v>
      </c>
      <c r="K88" s="77">
        <v>9770274.8325337097</v>
      </c>
      <c r="L88" s="77">
        <v>10191023.57609795</v>
      </c>
      <c r="M88" s="77">
        <v>9696535.2963352595</v>
      </c>
      <c r="N88" s="77">
        <v>11293978.283702901</v>
      </c>
      <c r="O88" s="77">
        <v>10706229.462152939</v>
      </c>
      <c r="P88" s="77">
        <v>10490086.5402983</v>
      </c>
      <c r="Q88" s="77">
        <v>10736462.915425731</v>
      </c>
      <c r="R88" s="77">
        <v>18508423.7355696</v>
      </c>
      <c r="S88" s="101">
        <f t="shared" si="28"/>
        <v>121897525.87081909</v>
      </c>
      <c r="T88" s="436">
        <f t="shared" si="29"/>
        <v>1.423271674927248</v>
      </c>
      <c r="U88" s="276"/>
    </row>
    <row r="89" spans="1:25">
      <c r="A89" s="105" t="str">
        <f t="shared" si="2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2074964.84</v>
      </c>
      <c r="H89" s="77">
        <v>3458155.25</v>
      </c>
      <c r="I89" s="77">
        <v>82413361.451368406</v>
      </c>
      <c r="J89" s="77">
        <v>123410301.130749</v>
      </c>
      <c r="K89" s="77">
        <v>4292333.1561694536</v>
      </c>
      <c r="L89" s="77">
        <v>4586263.5974512296</v>
      </c>
      <c r="M89" s="77">
        <v>4287369.4523842055</v>
      </c>
      <c r="N89" s="77">
        <v>4129340.6792961839</v>
      </c>
      <c r="O89" s="77">
        <v>4675368.6756879343</v>
      </c>
      <c r="P89" s="77">
        <v>3017295.7800836889</v>
      </c>
      <c r="Q89" s="77">
        <v>4273210.9535694756</v>
      </c>
      <c r="R89" s="77">
        <v>3063149.0788004398</v>
      </c>
      <c r="S89" s="101">
        <f t="shared" si="28"/>
        <v>243681114.04556003</v>
      </c>
      <c r="T89" s="436">
        <f t="shared" si="29"/>
        <v>2.8452130169016652</v>
      </c>
      <c r="U89" s="276"/>
    </row>
    <row r="90" spans="1:25">
      <c r="A90" s="105" t="str">
        <f t="shared" si="2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103563259.63</v>
      </c>
      <c r="H91" s="77">
        <v>85906011.700000003</v>
      </c>
      <c r="I91" s="77">
        <v>100722981.744941</v>
      </c>
      <c r="J91" s="77">
        <v>102894956.134937</v>
      </c>
      <c r="K91" s="77">
        <v>115364478.1828949</v>
      </c>
      <c r="L91" s="77">
        <v>127631724.62428281</v>
      </c>
      <c r="M91" s="77">
        <v>144867442.25136679</v>
      </c>
      <c r="N91" s="77">
        <v>153328125.54158679</v>
      </c>
      <c r="O91" s="77">
        <v>153903199.46410081</v>
      </c>
      <c r="P91" s="77">
        <v>139835606.86198401</v>
      </c>
      <c r="Q91" s="77">
        <v>110762381.97762799</v>
      </c>
      <c r="R91" s="77">
        <v>135480231.886278</v>
      </c>
      <c r="S91" s="101">
        <f t="shared" si="28"/>
        <v>1474260399.9999998</v>
      </c>
      <c r="T91" s="436">
        <f t="shared" si="29"/>
        <v>17.213418023025007</v>
      </c>
      <c r="U91" s="276"/>
    </row>
    <row r="92" spans="1:25">
      <c r="A92" s="105" t="str">
        <f t="shared" si="2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25853560.700000003</v>
      </c>
      <c r="H92" s="77">
        <v>25782205.390000001</v>
      </c>
      <c r="I92" s="77">
        <v>23470631.970260199</v>
      </c>
      <c r="J92" s="77">
        <v>33290334.5724907</v>
      </c>
      <c r="K92" s="77">
        <v>34046096.65427509</v>
      </c>
      <c r="L92" s="77">
        <v>38245709.919014864</v>
      </c>
      <c r="M92" s="77">
        <v>47873590.959907062</v>
      </c>
      <c r="N92" s="77">
        <v>49503814.562137462</v>
      </c>
      <c r="O92" s="77">
        <v>41937531.480353162</v>
      </c>
      <c r="P92" s="77">
        <v>41057620.817843899</v>
      </c>
      <c r="Q92" s="77">
        <v>30854275.09293681</v>
      </c>
      <c r="R92" s="77">
        <v>37384627.880780697</v>
      </c>
      <c r="S92" s="101">
        <f t="shared" si="28"/>
        <v>429300000</v>
      </c>
      <c r="T92" s="436">
        <f t="shared" si="29"/>
        <v>5.0124932863181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3336289.84</v>
      </c>
      <c r="H93" s="77">
        <v>4197843.17</v>
      </c>
      <c r="I93" s="77">
        <v>5730378.2462336114</v>
      </c>
      <c r="J93" s="77">
        <v>5521131.0428255089</v>
      </c>
      <c r="K93" s="77">
        <v>5863712.9453032995</v>
      </c>
      <c r="L93" s="77">
        <v>6550569.485030341</v>
      </c>
      <c r="M93" s="77">
        <v>6897318.1238761339</v>
      </c>
      <c r="N93" s="77">
        <v>6998831.4851978477</v>
      </c>
      <c r="O93" s="77">
        <v>6493627.6115585314</v>
      </c>
      <c r="P93" s="77">
        <v>5907364.0405404856</v>
      </c>
      <c r="Q93" s="77">
        <v>6475650.7942183083</v>
      </c>
      <c r="R93" s="77">
        <v>6457486.382455918</v>
      </c>
      <c r="S93" s="101">
        <f t="shared" si="28"/>
        <v>70430203.167239994</v>
      </c>
      <c r="T93" s="436">
        <f t="shared" si="29"/>
        <v>0.82234083514980272</v>
      </c>
      <c r="U93" s="276"/>
    </row>
    <row r="94" spans="1:25">
      <c r="A94" s="105" t="str">
        <f t="shared" si="2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1112774.18</v>
      </c>
      <c r="H94" s="77">
        <v>1112369.8</v>
      </c>
      <c r="I94" s="77">
        <v>1400289.5937747119</v>
      </c>
      <c r="J94" s="77">
        <v>1795877.881582927</v>
      </c>
      <c r="K94" s="77">
        <v>1644173.477990618</v>
      </c>
      <c r="L94" s="77">
        <v>1439832.1817686979</v>
      </c>
      <c r="M94" s="77">
        <v>1629241.237928529</v>
      </c>
      <c r="N94" s="77">
        <v>1433054.9142914431</v>
      </c>
      <c r="O94" s="77">
        <v>1546417.4797046159</v>
      </c>
      <c r="P94" s="77">
        <v>1373886.9490263991</v>
      </c>
      <c r="Q94" s="77">
        <v>1363356.288016639</v>
      </c>
      <c r="R94" s="77">
        <v>1254701.6443754211</v>
      </c>
      <c r="S94" s="101">
        <f t="shared" si="28"/>
        <v>17105975.628460005</v>
      </c>
      <c r="T94" s="436">
        <f t="shared" si="29"/>
        <v>0.19972883296896535</v>
      </c>
      <c r="U94" s="276"/>
    </row>
    <row r="95" spans="1:25">
      <c r="A95" s="105" t="str">
        <f t="shared" si="2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v>15040242.18</v>
      </c>
      <c r="H95" s="543">
        <v>33912527.129999995</v>
      </c>
      <c r="I95" s="544">
        <v>38122272.682000183</v>
      </c>
      <c r="J95" s="543">
        <v>36861095.016813256</v>
      </c>
      <c r="K95" s="543">
        <v>37091014.324559391</v>
      </c>
      <c r="L95" s="543">
        <v>39896957.696693726</v>
      </c>
      <c r="M95" s="543">
        <v>40629272.597245134</v>
      </c>
      <c r="N95" s="543">
        <v>39218224.569931686</v>
      </c>
      <c r="O95" s="543">
        <v>36622021.814950533</v>
      </c>
      <c r="P95" s="543">
        <v>35022993.184191018</v>
      </c>
      <c r="Q95" s="543">
        <v>35368438.116964862</v>
      </c>
      <c r="R95" s="545">
        <v>68185676.293503135</v>
      </c>
      <c r="S95" s="546">
        <f t="shared" si="28"/>
        <v>455970735.60685289</v>
      </c>
      <c r="T95" s="522">
        <f t="shared" si="29"/>
        <v>5.323899955711334</v>
      </c>
      <c r="U95" s="276"/>
    </row>
    <row r="96" spans="1:25">
      <c r="A96" s="105" t="str">
        <f t="shared" si="2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13458517.189999999</v>
      </c>
      <c r="H96" s="77">
        <v>30119156.719999999</v>
      </c>
      <c r="I96" s="77">
        <v>33834822.429532893</v>
      </c>
      <c r="J96" s="77">
        <v>32746003.592248771</v>
      </c>
      <c r="K96" s="77">
        <v>33109848.23931599</v>
      </c>
      <c r="L96" s="77">
        <v>34920317.382558778</v>
      </c>
      <c r="M96" s="77">
        <v>35774561.025258452</v>
      </c>
      <c r="N96" s="77">
        <v>33896336.875690714</v>
      </c>
      <c r="O96" s="77">
        <v>32049537.889377549</v>
      </c>
      <c r="P96" s="77">
        <v>30202378.331233311</v>
      </c>
      <c r="Q96" s="77">
        <v>30955042.544447221</v>
      </c>
      <c r="R96" s="77">
        <v>58664964.38852933</v>
      </c>
      <c r="S96" s="101">
        <f t="shared" si="28"/>
        <v>399731486.60819304</v>
      </c>
      <c r="T96" s="436">
        <f t="shared" si="29"/>
        <v>4.6672522547251836</v>
      </c>
      <c r="U96" s="276"/>
      <c r="V96" s="292"/>
    </row>
    <row r="97" spans="1:22">
      <c r="A97" s="105" t="str">
        <f t="shared" si="2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123789.09</v>
      </c>
      <c r="H97" s="77">
        <v>203327.02</v>
      </c>
      <c r="I97" s="77">
        <v>416686.55694443011</v>
      </c>
      <c r="J97" s="77">
        <v>416686.55694443011</v>
      </c>
      <c r="K97" s="77">
        <v>487585.36413836322</v>
      </c>
      <c r="L97" s="77">
        <v>504633.10196657077</v>
      </c>
      <c r="M97" s="77">
        <v>504633.10196657077</v>
      </c>
      <c r="N97" s="77">
        <v>504633.10196657077</v>
      </c>
      <c r="O97" s="77">
        <v>504633.10196657077</v>
      </c>
      <c r="P97" s="77">
        <v>416686.55694443011</v>
      </c>
      <c r="Q97" s="77">
        <v>416686.55694443011</v>
      </c>
      <c r="R97" s="77">
        <v>500019.89021763433</v>
      </c>
      <c r="S97" s="101">
        <f t="shared" si="28"/>
        <v>5000000</v>
      </c>
      <c r="T97" s="436">
        <f t="shared" si="29"/>
        <v>5.8379842607944328E-2</v>
      </c>
      <c r="U97" s="276"/>
    </row>
    <row r="98" spans="1:22">
      <c r="A98" s="105" t="str">
        <f t="shared" si="2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861006.73</v>
      </c>
      <c r="H98" s="77">
        <v>2061091.27</v>
      </c>
      <c r="I98" s="77">
        <v>2071452.0414873669</v>
      </c>
      <c r="J98" s="77">
        <v>2128817.712025594</v>
      </c>
      <c r="K98" s="77">
        <v>1888051.083314558</v>
      </c>
      <c r="L98" s="77">
        <v>2563934.2497231429</v>
      </c>
      <c r="M98" s="77">
        <v>2377617.330563623</v>
      </c>
      <c r="N98" s="77">
        <v>2895542.5008013318</v>
      </c>
      <c r="O98" s="77">
        <v>2597255.7287014481</v>
      </c>
      <c r="P98" s="77">
        <v>2537017.2737152278</v>
      </c>
      <c r="Q98" s="77">
        <v>2405912.9660101719</v>
      </c>
      <c r="R98" s="77">
        <v>5420141.1176091339</v>
      </c>
      <c r="S98" s="101">
        <f t="shared" si="28"/>
        <v>29807840.003951594</v>
      </c>
      <c r="T98" s="436">
        <f t="shared" si="29"/>
        <v>0.34803540158269614</v>
      </c>
      <c r="U98" s="276"/>
    </row>
    <row r="99" spans="1:22">
      <c r="A99" s="105" t="str">
        <f t="shared" si="2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596929.17000000004</v>
      </c>
      <c r="H99" s="77">
        <v>1528952.12</v>
      </c>
      <c r="I99" s="77">
        <v>1799311.6540354949</v>
      </c>
      <c r="J99" s="77">
        <v>1569587.1555944581</v>
      </c>
      <c r="K99" s="77">
        <v>1605529.637790482</v>
      </c>
      <c r="L99" s="77">
        <v>1908072.962445236</v>
      </c>
      <c r="M99" s="77">
        <v>1972461.139456494</v>
      </c>
      <c r="N99" s="77">
        <v>1921712.0914730751</v>
      </c>
      <c r="O99" s="77">
        <v>1470595.094904968</v>
      </c>
      <c r="P99" s="77">
        <v>1866911.022298048</v>
      </c>
      <c r="Q99" s="77">
        <v>1590796.0495630379</v>
      </c>
      <c r="R99" s="77">
        <v>3600550.897147039</v>
      </c>
      <c r="S99" s="101">
        <f t="shared" si="28"/>
        <v>21431408.994708329</v>
      </c>
      <c r="T99" s="436">
        <f t="shared" si="29"/>
        <v>0.25023245679551093</v>
      </c>
      <c r="U99" s="276"/>
    </row>
    <row r="100" spans="1:22">
      <c r="A100" s="105" t="str">
        <f t="shared" si="2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760921.56</v>
      </c>
      <c r="H100" s="510">
        <v>871357.06000000017</v>
      </c>
      <c r="I100" s="510">
        <v>1354982.5073912749</v>
      </c>
      <c r="J100" s="510">
        <v>1548621.4762266001</v>
      </c>
      <c r="K100" s="510">
        <v>1311753.8035919121</v>
      </c>
      <c r="L100" s="510">
        <v>1734866.3061894828</v>
      </c>
      <c r="M100" s="510">
        <v>2463110.412780867</v>
      </c>
      <c r="N100" s="510">
        <v>2721558.4807797847</v>
      </c>
      <c r="O100" s="510">
        <v>2283008.9060167298</v>
      </c>
      <c r="P100" s="510">
        <v>1623110.0924870989</v>
      </c>
      <c r="Q100" s="510">
        <v>1410485.8526485232</v>
      </c>
      <c r="R100" s="510">
        <v>1874908.2177277268</v>
      </c>
      <c r="S100" s="546">
        <f t="shared" si="28"/>
        <v>19958684.675840005</v>
      </c>
      <c r="T100" s="522">
        <f t="shared" si="29"/>
        <v>0.23303697400742598</v>
      </c>
      <c r="U100" s="276"/>
    </row>
    <row r="101" spans="1:22">
      <c r="A101" s="105" t="str">
        <f t="shared" si="2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5754526.1699999999</v>
      </c>
      <c r="H101" s="510">
        <v>4706927.32</v>
      </c>
      <c r="I101" s="510">
        <v>6367290.5879893601</v>
      </c>
      <c r="J101" s="510">
        <v>6077852.1208678391</v>
      </c>
      <c r="K101" s="510">
        <v>6136852.7056416813</v>
      </c>
      <c r="L101" s="510">
        <v>7726495.7396486197</v>
      </c>
      <c r="M101" s="510">
        <v>7874071.2225498315</v>
      </c>
      <c r="N101" s="510">
        <v>7683242.1843613042</v>
      </c>
      <c r="O101" s="510">
        <v>8234896.4815740976</v>
      </c>
      <c r="P101" s="510">
        <v>6739804.5901674582</v>
      </c>
      <c r="Q101" s="510">
        <v>6923870.8099540547</v>
      </c>
      <c r="R101" s="510">
        <v>7624499.4761657491</v>
      </c>
      <c r="S101" s="546">
        <f t="shared" si="28"/>
        <v>81850329.40891999</v>
      </c>
      <c r="T101" s="522">
        <f t="shared" si="29"/>
        <v>0.95568186966022917</v>
      </c>
      <c r="U101" s="276"/>
    </row>
    <row r="102" spans="1:22">
      <c r="A102" s="105" t="str">
        <f t="shared" si="2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1797426.74</v>
      </c>
      <c r="H102" s="510">
        <v>2003809.9199999997</v>
      </c>
      <c r="I102" s="510">
        <v>4224773.8501678938</v>
      </c>
      <c r="J102" s="510">
        <v>4369058.0058000032</v>
      </c>
      <c r="K102" s="510">
        <v>4886241.278766836</v>
      </c>
      <c r="L102" s="510">
        <v>5509329.4477721602</v>
      </c>
      <c r="M102" s="510">
        <v>5384944.0087026209</v>
      </c>
      <c r="N102" s="510">
        <v>9940422.4267649911</v>
      </c>
      <c r="O102" s="510">
        <v>7732947.0922748102</v>
      </c>
      <c r="P102" s="510">
        <v>7587958.4640256204</v>
      </c>
      <c r="Q102" s="510">
        <v>5418373.2756561711</v>
      </c>
      <c r="R102" s="510">
        <v>5936697.1040888941</v>
      </c>
      <c r="S102" s="546">
        <f t="shared" si="28"/>
        <v>64791981.614020005</v>
      </c>
      <c r="T102" s="522">
        <f t="shared" si="29"/>
        <v>0.75650913777666218</v>
      </c>
      <c r="U102" s="276"/>
    </row>
    <row r="103" spans="1:22">
      <c r="A103" s="105" t="str">
        <f t="shared" si="2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0</v>
      </c>
      <c r="H104" s="510">
        <v>1130949.07</v>
      </c>
      <c r="I104" s="510">
        <v>3000000</v>
      </c>
      <c r="J104" s="510">
        <v>3153709.3977777781</v>
      </c>
      <c r="K104" s="510">
        <v>3653709.39777778</v>
      </c>
      <c r="L104" s="510">
        <v>4620972.1302777799</v>
      </c>
      <c r="M104" s="510">
        <v>6170972.1302777799</v>
      </c>
      <c r="N104" s="510">
        <v>9870972.1302777808</v>
      </c>
      <c r="O104" s="510">
        <v>13120972.130277781</v>
      </c>
      <c r="P104" s="510">
        <v>29153709.3977778</v>
      </c>
      <c r="Q104" s="510">
        <v>28153709.397777781</v>
      </c>
      <c r="R104" s="510">
        <v>3170324.8177777799</v>
      </c>
      <c r="S104" s="547">
        <f t="shared" si="28"/>
        <v>105200000.00000004</v>
      </c>
      <c r="T104" s="524">
        <f t="shared" si="29"/>
        <v>1.2283118884711492</v>
      </c>
      <c r="U104" s="276"/>
    </row>
    <row r="105" spans="1:22" ht="13.5" thickBot="1">
      <c r="A105" s="105" t="str">
        <f t="shared" si="2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v>276075862.74000007</v>
      </c>
      <c r="H105" s="505">
        <v>250900172.53000003</v>
      </c>
      <c r="I105" s="505">
        <v>302853997.67000008</v>
      </c>
      <c r="J105" s="505">
        <v>311206838.67000002</v>
      </c>
      <c r="K105" s="505">
        <v>249184399.54000005</v>
      </c>
      <c r="L105" s="505">
        <v>276627750.10000002</v>
      </c>
      <c r="M105" s="505">
        <v>263410795.76000002</v>
      </c>
      <c r="N105" s="505">
        <v>245921480.15000004</v>
      </c>
      <c r="O105" s="505">
        <v>276928365.88999999</v>
      </c>
      <c r="P105" s="505">
        <v>276908966.93000007</v>
      </c>
      <c r="Q105" s="505">
        <v>263195197.97999999</v>
      </c>
      <c r="R105" s="505">
        <v>369575528.01999998</v>
      </c>
      <c r="S105" s="548">
        <f>+SUM(G105:R105)</f>
        <v>3362789355.9799995</v>
      </c>
      <c r="T105" s="549">
        <f t="shared" si="29"/>
        <v>39.263822665156567</v>
      </c>
      <c r="U105" s="276"/>
    </row>
    <row r="106" spans="1:22">
      <c r="A106" s="105" t="str">
        <f t="shared" si="2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v>102776834.81000005</v>
      </c>
      <c r="H106" s="511">
        <v>87897023.549999997</v>
      </c>
      <c r="I106" s="511">
        <v>114671179.71000004</v>
      </c>
      <c r="J106" s="511">
        <v>142348016.90000001</v>
      </c>
      <c r="K106" s="511">
        <v>89858775.299999997</v>
      </c>
      <c r="L106" s="511">
        <v>107068525.90000001</v>
      </c>
      <c r="M106" s="511">
        <v>97552258.630000025</v>
      </c>
      <c r="N106" s="511">
        <v>87486989.739999995</v>
      </c>
      <c r="O106" s="511">
        <v>110961329.31000003</v>
      </c>
      <c r="P106" s="511">
        <v>112682764.51000004</v>
      </c>
      <c r="Q106" s="511">
        <v>102259218.44999996</v>
      </c>
      <c r="R106" s="512">
        <v>163373965.94</v>
      </c>
      <c r="S106" s="542">
        <f t="shared" si="28"/>
        <v>1318936882.75</v>
      </c>
      <c r="T106" s="519">
        <f t="shared" si="29"/>
        <v>15.399865524951545</v>
      </c>
      <c r="U106" s="276"/>
      <c r="V106" s="275"/>
    </row>
    <row r="107" spans="1:22">
      <c r="A107" s="105" t="str">
        <f t="shared" si="2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61335676.670000017</v>
      </c>
      <c r="H107" s="77">
        <v>60338786.139999986</v>
      </c>
      <c r="I107" s="77">
        <v>59643227.720000029</v>
      </c>
      <c r="J107" s="77">
        <v>61081392.299999997</v>
      </c>
      <c r="K107" s="77">
        <v>61168112.759999983</v>
      </c>
      <c r="L107" s="77">
        <v>61088492.889999978</v>
      </c>
      <c r="M107" s="77">
        <v>59297634.670000024</v>
      </c>
      <c r="N107" s="77">
        <v>59157272.019999988</v>
      </c>
      <c r="O107" s="77">
        <v>59056810.900000028</v>
      </c>
      <c r="P107" s="77">
        <v>61312146.840000026</v>
      </c>
      <c r="Q107" s="77">
        <v>60769871.93999996</v>
      </c>
      <c r="R107" s="77">
        <v>62820007.070000008</v>
      </c>
      <c r="S107" s="101">
        <f t="shared" si="28"/>
        <v>727069431.92000008</v>
      </c>
      <c r="T107" s="436">
        <f t="shared" si="29"/>
        <v>8.4892398001074199</v>
      </c>
      <c r="U107" s="276"/>
    </row>
    <row r="108" spans="1:22">
      <c r="A108" s="105" t="str">
        <f t="shared" si="2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2094592.6999999993</v>
      </c>
      <c r="H108" s="77">
        <v>2029525.0899999999</v>
      </c>
      <c r="I108" s="77">
        <v>1916284.2100000014</v>
      </c>
      <c r="J108" s="77">
        <v>2163621.5200000019</v>
      </c>
      <c r="K108" s="77">
        <v>1672828.36</v>
      </c>
      <c r="L108" s="77">
        <v>2228933.4700000035</v>
      </c>
      <c r="M108" s="77">
        <v>1714336.76</v>
      </c>
      <c r="N108" s="77">
        <v>2286449.7700000005</v>
      </c>
      <c r="O108" s="77">
        <v>1824872.4000000027</v>
      </c>
      <c r="P108" s="77">
        <v>2313526.8500000024</v>
      </c>
      <c r="Q108" s="77">
        <v>1891601.0300000005</v>
      </c>
      <c r="R108" s="77">
        <v>3567819.9499999983</v>
      </c>
      <c r="S108" s="101">
        <f t="shared" si="28"/>
        <v>25704392.110000011</v>
      </c>
      <c r="T108" s="436">
        <f t="shared" si="29"/>
        <v>0.30012367314293731</v>
      </c>
      <c r="U108" s="276"/>
    </row>
    <row r="109" spans="1:22">
      <c r="A109" s="105" t="str">
        <f t="shared" si="2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3343160.9999999935</v>
      </c>
      <c r="H109" s="77">
        <v>2915408.51</v>
      </c>
      <c r="I109" s="77">
        <v>4435898.1899999995</v>
      </c>
      <c r="J109" s="77">
        <v>3649908.7900000005</v>
      </c>
      <c r="K109" s="77">
        <v>2637559.5699999994</v>
      </c>
      <c r="L109" s="77">
        <v>2849980.95</v>
      </c>
      <c r="M109" s="77">
        <v>2815956.9699999997</v>
      </c>
      <c r="N109" s="77">
        <v>3502005.2600000007</v>
      </c>
      <c r="O109" s="77">
        <v>5407318.0700000003</v>
      </c>
      <c r="P109" s="77">
        <v>2715025.4000000004</v>
      </c>
      <c r="Q109" s="77">
        <v>4813266.9699999988</v>
      </c>
      <c r="R109" s="77">
        <v>7409660.3299999991</v>
      </c>
      <c r="S109" s="101">
        <f t="shared" si="28"/>
        <v>46495150.00999999</v>
      </c>
      <c r="T109" s="436">
        <f t="shared" si="29"/>
        <v>0.54287590792331208</v>
      </c>
      <c r="U109" s="276"/>
    </row>
    <row r="110" spans="1:22">
      <c r="A110" s="105" t="str">
        <f t="shared" si="2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8791509.060000008</v>
      </c>
      <c r="H110" s="77">
        <v>8162413.4300000127</v>
      </c>
      <c r="I110" s="77">
        <v>7824529.6200000066</v>
      </c>
      <c r="J110" s="77">
        <v>9044266.900000006</v>
      </c>
      <c r="K110" s="77">
        <v>7831672.0100000063</v>
      </c>
      <c r="L110" s="77">
        <v>8588369.4400000051</v>
      </c>
      <c r="M110" s="77">
        <v>8352515.7300000088</v>
      </c>
      <c r="N110" s="77">
        <v>6852235.6300000064</v>
      </c>
      <c r="O110" s="77">
        <v>8321058.8100000052</v>
      </c>
      <c r="P110" s="77">
        <v>8251727.6900000051</v>
      </c>
      <c r="Q110" s="77">
        <v>7898547.7600000072</v>
      </c>
      <c r="R110" s="77">
        <v>17267347.740000013</v>
      </c>
      <c r="S110" s="101">
        <f t="shared" si="28"/>
        <v>107186193.8200001</v>
      </c>
      <c r="T110" s="436">
        <f t="shared" si="29"/>
        <v>1.2515026249912442</v>
      </c>
      <c r="U110" s="276"/>
    </row>
    <row r="111" spans="1:22">
      <c r="A111" s="105" t="str">
        <f t="shared" si="2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4733298.2899999991</v>
      </c>
      <c r="H111" s="77">
        <v>3658048.13</v>
      </c>
      <c r="I111" s="77">
        <v>4971731.5200000005</v>
      </c>
      <c r="J111" s="77">
        <v>4779653.5599999996</v>
      </c>
      <c r="K111" s="77">
        <v>4422387.5599999996</v>
      </c>
      <c r="L111" s="77">
        <v>5083476.54</v>
      </c>
      <c r="M111" s="77">
        <v>4718386.2200000007</v>
      </c>
      <c r="N111" s="77">
        <v>4792915.3600000003</v>
      </c>
      <c r="O111" s="77">
        <v>4256734.91</v>
      </c>
      <c r="P111" s="77">
        <v>5112374.4400000013</v>
      </c>
      <c r="Q111" s="77">
        <v>4928029.66</v>
      </c>
      <c r="R111" s="77">
        <v>9848080.5699999984</v>
      </c>
      <c r="S111" s="101">
        <f t="shared" si="28"/>
        <v>61305116.759999983</v>
      </c>
      <c r="T111" s="436">
        <f t="shared" si="29"/>
        <v>0.71579661350208978</v>
      </c>
      <c r="U111" s="276"/>
    </row>
    <row r="112" spans="1:22">
      <c r="A112" s="105" t="str">
        <f t="shared" si="2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8464976.6500000004</v>
      </c>
      <c r="H112" s="77">
        <v>2696492.4099999997</v>
      </c>
      <c r="I112" s="77">
        <v>22203570.899999999</v>
      </c>
      <c r="J112" s="77">
        <v>49733714.509999998</v>
      </c>
      <c r="K112" s="77">
        <v>3668679.6700000004</v>
      </c>
      <c r="L112" s="77">
        <v>14986169.060000001</v>
      </c>
      <c r="M112" s="77">
        <v>7339084.2000000002</v>
      </c>
      <c r="N112" s="77">
        <v>2482657.96</v>
      </c>
      <c r="O112" s="77">
        <v>21667714.07</v>
      </c>
      <c r="P112" s="77">
        <v>15475717.76</v>
      </c>
      <c r="Q112" s="77">
        <v>7591816.9299999997</v>
      </c>
      <c r="R112" s="77">
        <v>18520445.960000001</v>
      </c>
      <c r="S112" s="101">
        <f t="shared" si="28"/>
        <v>174831040.08000001</v>
      </c>
      <c r="T112" s="436">
        <f t="shared" si="29"/>
        <v>2.0413217205707217</v>
      </c>
      <c r="U112" s="276"/>
    </row>
    <row r="113" spans="1:21">
      <c r="A113" s="105" t="str">
        <f t="shared" si="2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1526240.320000001</v>
      </c>
      <c r="H113" s="77">
        <v>1005364.5400000006</v>
      </c>
      <c r="I113" s="77">
        <v>1267222.4600000011</v>
      </c>
      <c r="J113" s="77">
        <v>1096839.3699999996</v>
      </c>
      <c r="K113" s="77">
        <v>1005498.0400000011</v>
      </c>
      <c r="L113" s="77">
        <v>1262553.4200000006</v>
      </c>
      <c r="M113" s="77">
        <v>1142696.2300000007</v>
      </c>
      <c r="N113" s="77">
        <v>978722.42000000039</v>
      </c>
      <c r="O113" s="77">
        <v>1221691.2200000004</v>
      </c>
      <c r="P113" s="77">
        <v>1114394.93</v>
      </c>
      <c r="Q113" s="77">
        <v>1131649.2000000002</v>
      </c>
      <c r="R113" s="77">
        <v>1918060.9700000002</v>
      </c>
      <c r="S113" s="101">
        <f t="shared" si="28"/>
        <v>14670933.120000007</v>
      </c>
      <c r="T113" s="436">
        <f t="shared" si="29"/>
        <v>0.1712973532914556</v>
      </c>
      <c r="U113" s="276"/>
    </row>
    <row r="114" spans="1:21">
      <c r="A114" s="105" t="str">
        <f t="shared" si="2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4981667.2300000004</v>
      </c>
      <c r="H114" s="77">
        <v>2519479.5</v>
      </c>
      <c r="I114" s="77">
        <v>4858508.4000000004</v>
      </c>
      <c r="J114" s="77">
        <v>4236714.57</v>
      </c>
      <c r="K114" s="77">
        <v>2777954.39</v>
      </c>
      <c r="L114" s="77">
        <v>3186842.5700000003</v>
      </c>
      <c r="M114" s="77">
        <v>3907127</v>
      </c>
      <c r="N114" s="77">
        <v>2749485.8600000003</v>
      </c>
      <c r="O114" s="77">
        <v>4794489.1100000003</v>
      </c>
      <c r="P114" s="77">
        <v>9814818.2999999989</v>
      </c>
      <c r="Q114" s="77">
        <v>8274462.4199999999</v>
      </c>
      <c r="R114" s="77">
        <v>23470308.82</v>
      </c>
      <c r="S114" s="101">
        <f t="shared" si="28"/>
        <v>75571858.170000002</v>
      </c>
      <c r="T114" s="436">
        <f t="shared" si="29"/>
        <v>0.88237463711089847</v>
      </c>
      <c r="U114" s="276"/>
    </row>
    <row r="115" spans="1:21">
      <c r="A115" s="105" t="str">
        <f t="shared" si="2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7505712.8899999987</v>
      </c>
      <c r="H115" s="77">
        <v>4571505.8</v>
      </c>
      <c r="I115" s="77">
        <v>7550206.6900000013</v>
      </c>
      <c r="J115" s="77">
        <v>6561905.379999999</v>
      </c>
      <c r="K115" s="77">
        <v>4674082.9400000004</v>
      </c>
      <c r="L115" s="77">
        <v>7793707.5599999987</v>
      </c>
      <c r="M115" s="77">
        <v>8264520.8500000006</v>
      </c>
      <c r="N115" s="77">
        <v>4685245.4600000018</v>
      </c>
      <c r="O115" s="77">
        <v>4410639.8200000012</v>
      </c>
      <c r="P115" s="77">
        <v>6573032.3000000007</v>
      </c>
      <c r="Q115" s="77">
        <v>4959972.5399999991</v>
      </c>
      <c r="R115" s="77">
        <v>18552234.530000001</v>
      </c>
      <c r="S115" s="101">
        <f t="shared" si="28"/>
        <v>86102766.75999999</v>
      </c>
      <c r="T115" s="436">
        <f t="shared" si="29"/>
        <v>1.0053331943114681</v>
      </c>
      <c r="U115" s="276"/>
    </row>
    <row r="116" spans="1:21">
      <c r="A116" s="105" t="str">
        <f t="shared" si="2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v>97141355.000000015</v>
      </c>
      <c r="H116" s="507">
        <v>98429725.790000007</v>
      </c>
      <c r="I116" s="507">
        <v>95251653.310000017</v>
      </c>
      <c r="J116" s="507">
        <v>93851854.440000013</v>
      </c>
      <c r="K116" s="507">
        <v>93523127.110000014</v>
      </c>
      <c r="L116" s="507">
        <v>95504288.460000008</v>
      </c>
      <c r="M116" s="507">
        <v>95280802.350000009</v>
      </c>
      <c r="N116" s="507">
        <v>96603528.99000001</v>
      </c>
      <c r="O116" s="507">
        <v>95268061.499999985</v>
      </c>
      <c r="P116" s="507">
        <v>98614821.090000018</v>
      </c>
      <c r="Q116" s="507">
        <v>96523058.440000013</v>
      </c>
      <c r="R116" s="507">
        <v>99726148.170000002</v>
      </c>
      <c r="S116" s="546">
        <f t="shared" si="28"/>
        <v>1155718424.6500001</v>
      </c>
      <c r="T116" s="522">
        <f t="shared" si="29"/>
        <v>13.494131946033674</v>
      </c>
      <c r="U116" s="276"/>
    </row>
    <row r="117" spans="1:21">
      <c r="A117" s="105" t="str">
        <f t="shared" si="2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20856536.470000003</v>
      </c>
      <c r="H117" s="499">
        <v>22407581.460000001</v>
      </c>
      <c r="I117" s="499">
        <v>21149012.300000001</v>
      </c>
      <c r="J117" s="499">
        <v>19806039.579999998</v>
      </c>
      <c r="K117" s="499">
        <v>19445770.109999999</v>
      </c>
      <c r="L117" s="499">
        <v>20225052.129999999</v>
      </c>
      <c r="M117" s="499">
        <v>20253590.730000004</v>
      </c>
      <c r="N117" s="499">
        <v>21220267.359999999</v>
      </c>
      <c r="O117" s="499">
        <v>19601806.599999998</v>
      </c>
      <c r="P117" s="499">
        <v>22363934.399999999</v>
      </c>
      <c r="Q117" s="499">
        <v>20815293.530000001</v>
      </c>
      <c r="R117" s="499">
        <v>21102271.25</v>
      </c>
      <c r="S117" s="101">
        <f t="shared" si="28"/>
        <v>249247155.91999999</v>
      </c>
      <c r="T117" s="436">
        <f t="shared" si="29"/>
        <v>2.9102019466174718</v>
      </c>
      <c r="U117" s="276"/>
    </row>
    <row r="118" spans="1:21">
      <c r="A118" s="105" t="str">
        <f t="shared" si="27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2250500.08</v>
      </c>
      <c r="H118" s="499">
        <v>2117233.73</v>
      </c>
      <c r="I118" s="499">
        <v>2123814.2599999998</v>
      </c>
      <c r="J118" s="499">
        <v>2098727.21</v>
      </c>
      <c r="K118" s="499">
        <v>2047332.4200000002</v>
      </c>
      <c r="L118" s="499">
        <v>2045934.44</v>
      </c>
      <c r="M118" s="499">
        <v>2028882.5899999999</v>
      </c>
      <c r="N118" s="499">
        <v>2011024.49</v>
      </c>
      <c r="O118" s="499">
        <v>2036528.0800000003</v>
      </c>
      <c r="P118" s="499">
        <v>1982494.6300000001</v>
      </c>
      <c r="Q118" s="499">
        <v>1988950.09</v>
      </c>
      <c r="R118" s="499">
        <v>4274578.9800000004</v>
      </c>
      <c r="S118" s="101">
        <f t="shared" si="28"/>
        <v>27006001</v>
      </c>
      <c r="T118" s="436">
        <f t="shared" si="29"/>
        <v>0.31532121756999743</v>
      </c>
      <c r="U118" s="276"/>
    </row>
    <row r="119" spans="1:21">
      <c r="A119" s="105" t="str">
        <f t="shared" si="2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67994105.710000008</v>
      </c>
      <c r="H119" s="499">
        <v>70454777.719999999</v>
      </c>
      <c r="I119" s="499">
        <v>68464856.170000017</v>
      </c>
      <c r="J119" s="499">
        <v>68592650.549999997</v>
      </c>
      <c r="K119" s="499">
        <v>68677709.140000015</v>
      </c>
      <c r="L119" s="499">
        <v>69990850.709999993</v>
      </c>
      <c r="M119" s="499">
        <v>69868116.700000003</v>
      </c>
      <c r="N119" s="499">
        <v>69976942.370000005</v>
      </c>
      <c r="O119" s="499">
        <v>70260550.23999998</v>
      </c>
      <c r="P119" s="499">
        <v>70905453.710000008</v>
      </c>
      <c r="Q119" s="499">
        <v>70961492.019999996</v>
      </c>
      <c r="R119" s="499">
        <v>71057762.689999998</v>
      </c>
      <c r="S119" s="101">
        <f t="shared" si="28"/>
        <v>837205267.73000002</v>
      </c>
      <c r="T119" s="436">
        <f t="shared" si="29"/>
        <v>9.7751823521238599</v>
      </c>
      <c r="U119" s="276"/>
    </row>
    <row r="120" spans="1:21">
      <c r="A120" s="105" t="str">
        <f t="shared" si="2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3974578.08</v>
      </c>
      <c r="H120" s="499">
        <v>1964311.0899999999</v>
      </c>
      <c r="I120" s="499">
        <v>1964311.0899999999</v>
      </c>
      <c r="J120" s="499">
        <v>1964311.0899999999</v>
      </c>
      <c r="K120" s="499">
        <v>1964311.0899999999</v>
      </c>
      <c r="L120" s="499">
        <v>1964311.0899999999</v>
      </c>
      <c r="M120" s="499">
        <v>1964311.0899999999</v>
      </c>
      <c r="N120" s="499">
        <v>1964311.0899999999</v>
      </c>
      <c r="O120" s="499">
        <v>1964311.0899999999</v>
      </c>
      <c r="P120" s="499">
        <v>1956977.76</v>
      </c>
      <c r="Q120" s="499">
        <v>1956977.76</v>
      </c>
      <c r="R120" s="499">
        <v>1956977.6800000002</v>
      </c>
      <c r="S120" s="101">
        <f t="shared" si="28"/>
        <v>25560000.000000004</v>
      </c>
      <c r="T120" s="436">
        <f t="shared" si="29"/>
        <v>0.29843775541181145</v>
      </c>
      <c r="U120" s="276"/>
    </row>
    <row r="121" spans="1:21">
      <c r="A121" s="105" t="str">
        <f t="shared" si="2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2065634.66</v>
      </c>
      <c r="H121" s="499">
        <v>1485821.79</v>
      </c>
      <c r="I121" s="499">
        <v>1549659.49</v>
      </c>
      <c r="J121" s="499">
        <v>1390126.01</v>
      </c>
      <c r="K121" s="499">
        <v>1388004.35</v>
      </c>
      <c r="L121" s="499">
        <v>1278140.0900000001</v>
      </c>
      <c r="M121" s="499">
        <v>1165901.24</v>
      </c>
      <c r="N121" s="499">
        <v>1430983.6799999999</v>
      </c>
      <c r="O121" s="499">
        <v>1404865.49</v>
      </c>
      <c r="P121" s="499">
        <v>1405960.59</v>
      </c>
      <c r="Q121" s="499">
        <v>800345.04</v>
      </c>
      <c r="R121" s="499">
        <v>1334557.57</v>
      </c>
      <c r="S121" s="101">
        <f t="shared" si="28"/>
        <v>16700000</v>
      </c>
      <c r="T121" s="436">
        <f t="shared" si="29"/>
        <v>0.19498867431053404</v>
      </c>
      <c r="U121" s="276"/>
    </row>
    <row r="122" spans="1:21">
      <c r="A122" s="105" t="str">
        <f t="shared" si="2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41078999.899999999</v>
      </c>
      <c r="H122" s="510">
        <v>37609091.900000006</v>
      </c>
      <c r="I122" s="510">
        <v>41480698.100000001</v>
      </c>
      <c r="J122" s="510">
        <v>41025293.770000003</v>
      </c>
      <c r="K122" s="510">
        <v>40405028.440000013</v>
      </c>
      <c r="L122" s="510">
        <v>41871311.990000002</v>
      </c>
      <c r="M122" s="510">
        <v>42872116.689999998</v>
      </c>
      <c r="N122" s="510">
        <v>35806003.100000001</v>
      </c>
      <c r="O122" s="510">
        <v>40548918.929999992</v>
      </c>
      <c r="P122" s="510">
        <v>37943306.299999997</v>
      </c>
      <c r="Q122" s="510">
        <v>38223430.82</v>
      </c>
      <c r="R122" s="510">
        <v>60844726.18999999</v>
      </c>
      <c r="S122" s="546">
        <f>+SUM(G122:R122)</f>
        <v>499708926.13000005</v>
      </c>
      <c r="T122" s="522">
        <f t="shared" si="29"/>
        <v>5.8345856914508571</v>
      </c>
      <c r="U122" s="276"/>
    </row>
    <row r="123" spans="1:21">
      <c r="A123" s="105" t="str">
        <f t="shared" si="2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31738678.650000013</v>
      </c>
      <c r="H123" s="510">
        <v>25631144.730000008</v>
      </c>
      <c r="I123" s="510">
        <v>33300001.570000019</v>
      </c>
      <c r="J123" s="510">
        <v>33365285.109999999</v>
      </c>
      <c r="K123" s="510">
        <v>24719670.920000009</v>
      </c>
      <c r="L123" s="510">
        <v>31084265.130000003</v>
      </c>
      <c r="M123" s="510">
        <v>26903212.780000005</v>
      </c>
      <c r="N123" s="510">
        <v>25873496.330000013</v>
      </c>
      <c r="O123" s="510">
        <v>28685724.790000007</v>
      </c>
      <c r="P123" s="510">
        <v>27169656.830000006</v>
      </c>
      <c r="Q123" s="510">
        <v>24795938.860000014</v>
      </c>
      <c r="R123" s="510">
        <v>34836107.229999997</v>
      </c>
      <c r="S123" s="546">
        <f>+SUM(G123:R123)</f>
        <v>348103182.93000007</v>
      </c>
      <c r="T123" s="522">
        <f t="shared" si="29"/>
        <v>4.0644418061555712</v>
      </c>
      <c r="U123" s="276"/>
    </row>
    <row r="124" spans="1:21">
      <c r="A124" s="105" t="str">
        <f t="shared" si="2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2894146.88</v>
      </c>
      <c r="H125" s="501">
        <v>907850.84</v>
      </c>
      <c r="I125" s="501">
        <v>17727166.02</v>
      </c>
      <c r="J125" s="501">
        <v>263440.75</v>
      </c>
      <c r="K125" s="501">
        <v>98122.52</v>
      </c>
      <c r="L125" s="501">
        <v>848129.05</v>
      </c>
      <c r="M125" s="501">
        <v>124843.75</v>
      </c>
      <c r="N125" s="501">
        <v>8652.3799999999992</v>
      </c>
      <c r="O125" s="501">
        <v>229771.06</v>
      </c>
      <c r="P125" s="501">
        <v>98060.44</v>
      </c>
      <c r="Q125" s="501">
        <v>1138140.83</v>
      </c>
      <c r="R125" s="501">
        <v>10391438</v>
      </c>
      <c r="S125" s="101">
        <f t="shared" si="28"/>
        <v>34729762.519999996</v>
      </c>
      <c r="T125" s="436">
        <f t="shared" si="29"/>
        <v>0.40550361394577678</v>
      </c>
      <c r="U125" s="276"/>
    </row>
    <row r="126" spans="1:21">
      <c r="A126" s="105" t="str">
        <f t="shared" si="2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0.16</v>
      </c>
      <c r="H126" s="499">
        <v>0.16</v>
      </c>
      <c r="I126" s="499">
        <v>0.16</v>
      </c>
      <c r="J126" s="499">
        <v>0.16</v>
      </c>
      <c r="K126" s="499">
        <v>0.16</v>
      </c>
      <c r="L126" s="499">
        <v>0.16</v>
      </c>
      <c r="M126" s="499">
        <v>0.16</v>
      </c>
      <c r="N126" s="499">
        <v>0.16</v>
      </c>
      <c r="O126" s="499">
        <v>0.16</v>
      </c>
      <c r="P126" s="499">
        <v>0.16</v>
      </c>
      <c r="Q126" s="499">
        <v>0.16</v>
      </c>
      <c r="R126" s="499">
        <v>0.24</v>
      </c>
      <c r="S126" s="101">
        <f t="shared" si="28"/>
        <v>1.9999999999999998</v>
      </c>
      <c r="T126" s="436">
        <f t="shared" si="29"/>
        <v>2.3351937043177729E-8</v>
      </c>
      <c r="U126" s="276"/>
    </row>
    <row r="127" spans="1:21">
      <c r="A127" s="106" t="str">
        <f t="shared" si="2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445847.34000000189</v>
      </c>
      <c r="H127" s="501">
        <v>425335.56000000192</v>
      </c>
      <c r="I127" s="501">
        <v>423298.80000000191</v>
      </c>
      <c r="J127" s="501">
        <v>352947.54000000079</v>
      </c>
      <c r="K127" s="501">
        <v>579675.09000000579</v>
      </c>
      <c r="L127" s="501">
        <v>251229.40999999866</v>
      </c>
      <c r="M127" s="501">
        <v>677561.40000000049</v>
      </c>
      <c r="N127" s="501">
        <v>142809.44999999987</v>
      </c>
      <c r="O127" s="501">
        <v>1234560.1399999978</v>
      </c>
      <c r="P127" s="501">
        <v>400357.6000000019</v>
      </c>
      <c r="Q127" s="501">
        <v>255410.41999999864</v>
      </c>
      <c r="R127" s="501">
        <v>403142.24999999977</v>
      </c>
      <c r="S127" s="92">
        <f>+SUM(G127:R127)</f>
        <v>5592175.0000000093</v>
      </c>
      <c r="T127" s="444">
        <f t="shared" si="29"/>
        <v>6.529405926721632E-2</v>
      </c>
      <c r="U127" s="276"/>
    </row>
    <row r="128" spans="1:21" ht="13.5" thickBot="1">
      <c r="A128" s="105" t="str">
        <f t="shared" si="2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v>-113636610.67000008</v>
      </c>
      <c r="H129" s="505">
        <v>-54641648.785753936</v>
      </c>
      <c r="I129" s="504">
        <v>-26505441.738050878</v>
      </c>
      <c r="J129" s="504">
        <v>16031924.16095072</v>
      </c>
      <c r="K129" s="504">
        <v>-25123758.780495405</v>
      </c>
      <c r="L129" s="504">
        <v>-32912645.966833889</v>
      </c>
      <c r="M129" s="504">
        <v>7944431.3622926772</v>
      </c>
      <c r="N129" s="504">
        <v>43781444.537266612</v>
      </c>
      <c r="O129" s="504">
        <v>3909214.1375904083</v>
      </c>
      <c r="P129" s="504">
        <v>4900469.7884257436</v>
      </c>
      <c r="Q129" s="504">
        <v>-21454982.505203664</v>
      </c>
      <c r="R129" s="504">
        <v>-80634801.502476633</v>
      </c>
      <c r="S129" s="550">
        <f t="shared" si="28"/>
        <v>-278342405.96228832</v>
      </c>
      <c r="T129" s="531">
        <f t="shared" si="29"/>
        <v>-3.2499171702389877</v>
      </c>
      <c r="U129" s="276"/>
    </row>
    <row r="130" spans="1:22" ht="13.5" thickBot="1">
      <c r="A130" s="106" t="str">
        <f t="shared" si="2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v>-105171634.02000007</v>
      </c>
      <c r="H130" s="506">
        <v>-51945156.375753939</v>
      </c>
      <c r="I130" s="506">
        <v>-4301870.8380508795</v>
      </c>
      <c r="J130" s="506">
        <v>65765638.670950718</v>
      </c>
      <c r="K130" s="506">
        <v>-21455079.110495403</v>
      </c>
      <c r="L130" s="506">
        <v>-17926476.906833887</v>
      </c>
      <c r="M130" s="506">
        <v>15283515.562292676</v>
      </c>
      <c r="N130" s="506">
        <v>46264102.497266613</v>
      </c>
      <c r="O130" s="506">
        <v>25576928.207590409</v>
      </c>
      <c r="P130" s="506">
        <v>20376187.548425741</v>
      </c>
      <c r="Q130" s="506">
        <v>-13863165.575203665</v>
      </c>
      <c r="R130" s="506">
        <v>-62114355.542476632</v>
      </c>
      <c r="S130" s="550">
        <f t="shared" si="28"/>
        <v>-103511365.88228831</v>
      </c>
      <c r="T130" s="531">
        <f t="shared" si="29"/>
        <v>-1.208595449668266</v>
      </c>
      <c r="U130" s="276"/>
    </row>
    <row r="131" spans="1:22">
      <c r="A131" s="106" t="str">
        <f t="shared" si="2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v>38776677.729999997</v>
      </c>
      <c r="H131" s="507">
        <v>6623849.54</v>
      </c>
      <c r="I131" s="507">
        <v>8538883.3599999994</v>
      </c>
      <c r="J131" s="507">
        <v>77955174.939999998</v>
      </c>
      <c r="K131" s="507">
        <v>12713349.220000001</v>
      </c>
      <c r="L131" s="507">
        <v>71941312.399999991</v>
      </c>
      <c r="M131" s="508">
        <v>42612513.939999998</v>
      </c>
      <c r="N131" s="507">
        <v>6821797.4299999997</v>
      </c>
      <c r="O131" s="507">
        <v>10991740.379999999</v>
      </c>
      <c r="P131" s="507">
        <v>10748760.469999999</v>
      </c>
      <c r="Q131" s="507">
        <v>25887272.060000002</v>
      </c>
      <c r="R131" s="507">
        <v>69983127.530000001</v>
      </c>
      <c r="S131" s="551">
        <f t="shared" si="28"/>
        <v>383594459</v>
      </c>
      <c r="T131" s="533">
        <f t="shared" si="29"/>
        <v>4.4788368283399107</v>
      </c>
      <c r="U131" s="276"/>
      <c r="V131" s="494"/>
    </row>
    <row r="132" spans="1:22">
      <c r="A132" s="106" t="str">
        <f t="shared" si="2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1689177.73</v>
      </c>
      <c r="H132" s="502">
        <v>1011346.87</v>
      </c>
      <c r="I132" s="502">
        <v>4628146.62</v>
      </c>
      <c r="J132" s="502">
        <v>51690881.789999999</v>
      </c>
      <c r="K132" s="502">
        <v>2155005.5700000003</v>
      </c>
      <c r="L132" s="502">
        <v>13538484.6</v>
      </c>
      <c r="M132" s="503">
        <v>1714623.3900000001</v>
      </c>
      <c r="N132" s="503">
        <v>1043364.38</v>
      </c>
      <c r="O132" s="503">
        <v>5060550.79</v>
      </c>
      <c r="P132" s="503">
        <v>5885.87</v>
      </c>
      <c r="Q132" s="503">
        <v>1058130.4900000002</v>
      </c>
      <c r="R132" s="503">
        <v>14218860.9</v>
      </c>
      <c r="S132" s="92">
        <f t="shared" si="28"/>
        <v>97814459</v>
      </c>
      <c r="T132" s="444">
        <f t="shared" si="29"/>
        <v>1.1420785442402448</v>
      </c>
      <c r="U132" s="276"/>
    </row>
    <row r="133" spans="1:22" ht="13.5" thickBot="1">
      <c r="A133" s="106" t="str">
        <f t="shared" si="2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37087500</v>
      </c>
      <c r="H133" s="502">
        <v>5612502.6699999999</v>
      </c>
      <c r="I133" s="502">
        <v>3910736.7399999998</v>
      </c>
      <c r="J133" s="502">
        <v>26264293.149999999</v>
      </c>
      <c r="K133" s="502">
        <v>10558343.65</v>
      </c>
      <c r="L133" s="502">
        <v>58402827.799999997</v>
      </c>
      <c r="M133" s="503">
        <v>40897890.549999997</v>
      </c>
      <c r="N133" s="503">
        <v>5778433.0499999998</v>
      </c>
      <c r="O133" s="503">
        <v>5931189.5899999999</v>
      </c>
      <c r="P133" s="503">
        <v>10742874.6</v>
      </c>
      <c r="Q133" s="503">
        <v>24829141.57</v>
      </c>
      <c r="R133" s="503">
        <v>55764266.630000003</v>
      </c>
      <c r="S133" s="92">
        <f t="shared" si="28"/>
        <v>285780000</v>
      </c>
      <c r="T133" s="444">
        <f t="shared" si="29"/>
        <v>3.3367582840996661</v>
      </c>
      <c r="U133" s="276"/>
    </row>
    <row r="134" spans="1:22" ht="13.5" thickBot="1">
      <c r="A134" s="106" t="str">
        <f t="shared" si="2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2848333.42</v>
      </c>
      <c r="H134" s="504">
        <v>0</v>
      </c>
      <c r="I134" s="504">
        <v>21979568.16</v>
      </c>
      <c r="J134" s="504">
        <v>0</v>
      </c>
      <c r="K134" s="504">
        <v>0</v>
      </c>
      <c r="L134" s="504">
        <v>7607131.5800000001</v>
      </c>
      <c r="M134" s="504">
        <v>1743970.28</v>
      </c>
      <c r="N134" s="504">
        <v>0</v>
      </c>
      <c r="O134" s="504">
        <v>0</v>
      </c>
      <c r="P134" s="504">
        <v>0</v>
      </c>
      <c r="Q134" s="504">
        <v>0</v>
      </c>
      <c r="R134" s="504">
        <v>997.56000000000006</v>
      </c>
      <c r="S134" s="550">
        <f t="shared" si="28"/>
        <v>34180001</v>
      </c>
      <c r="T134" s="531">
        <f t="shared" si="29"/>
        <v>0.39908461574387594</v>
      </c>
      <c r="U134" s="276"/>
      <c r="V134" s="494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1237500.6399999999</v>
      </c>
      <c r="H135" s="500">
        <v>737500.86</v>
      </c>
      <c r="I135" s="500">
        <v>781055.11</v>
      </c>
      <c r="J135" s="500">
        <v>739805.87</v>
      </c>
      <c r="K135" s="500">
        <v>754731.99</v>
      </c>
      <c r="L135" s="500">
        <v>758709.4</v>
      </c>
      <c r="M135" s="500">
        <v>149560.96000000002</v>
      </c>
      <c r="N135" s="500">
        <v>41845.08</v>
      </c>
      <c r="O135" s="500">
        <v>830950.94000000006</v>
      </c>
      <c r="P135" s="500">
        <v>959461.25000000012</v>
      </c>
      <c r="Q135" s="500">
        <v>446667.9</v>
      </c>
      <c r="R135" s="500">
        <v>512218</v>
      </c>
      <c r="S135" s="550">
        <f t="shared" si="28"/>
        <v>7950008.0000000009</v>
      </c>
      <c r="T135" s="531">
        <f t="shared" si="29"/>
        <v>9.2824043154379671E-2</v>
      </c>
      <c r="U135" s="276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v>-156499122.46000004</v>
      </c>
      <c r="H136" s="509">
        <v>-62002999.185753934</v>
      </c>
      <c r="I136" s="509">
        <v>-57804948.368050873</v>
      </c>
      <c r="J136" s="509">
        <v>-62663056.649049275</v>
      </c>
      <c r="K136" s="509">
        <v>-38591839.990495406</v>
      </c>
      <c r="L136" s="509">
        <v>-113219799.34683388</v>
      </c>
      <c r="M136" s="509">
        <v>-36561613.817707323</v>
      </c>
      <c r="N136" s="509">
        <v>36917802.027266614</v>
      </c>
      <c r="O136" s="509">
        <v>-7913477.182409591</v>
      </c>
      <c r="P136" s="509">
        <v>-6807751.9315742552</v>
      </c>
      <c r="Q136" s="509">
        <v>-47788922.465203665</v>
      </c>
      <c r="R136" s="509">
        <v>-151131144.59247664</v>
      </c>
      <c r="S136" s="552">
        <f t="shared" si="28"/>
        <v>-704066873.96228814</v>
      </c>
      <c r="T136" s="535">
        <f t="shared" si="29"/>
        <v>-8.2206626574771509</v>
      </c>
      <c r="U136" s="276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v>156499122.46000004</v>
      </c>
      <c r="H137" s="504">
        <v>62002999.185753934</v>
      </c>
      <c r="I137" s="504">
        <v>57804948.368050873</v>
      </c>
      <c r="J137" s="504">
        <v>62663056.649049275</v>
      </c>
      <c r="K137" s="504">
        <v>38591839.990495406</v>
      </c>
      <c r="L137" s="504">
        <v>113219799.34683388</v>
      </c>
      <c r="M137" s="504">
        <v>36561613.817707323</v>
      </c>
      <c r="N137" s="504">
        <v>-36917802.027266614</v>
      </c>
      <c r="O137" s="504">
        <v>7913477.182409592</v>
      </c>
      <c r="P137" s="504">
        <v>6807751.9315742552</v>
      </c>
      <c r="Q137" s="504">
        <v>47788922.465203665</v>
      </c>
      <c r="R137" s="504">
        <v>151131144.59247664</v>
      </c>
      <c r="S137" s="553">
        <f t="shared" si="28"/>
        <v>704066873.96228814</v>
      </c>
      <c r="T137" s="537">
        <f t="shared" si="29"/>
        <v>8.2206626574771509</v>
      </c>
      <c r="U137" s="276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50000000</v>
      </c>
      <c r="P138" s="502">
        <v>0</v>
      </c>
      <c r="Q138" s="502">
        <v>50000000</v>
      </c>
      <c r="R138" s="502">
        <v>0</v>
      </c>
      <c r="S138" s="92">
        <f t="shared" si="28"/>
        <v>100000000</v>
      </c>
      <c r="T138" s="444">
        <f t="shared" si="29"/>
        <v>1.1675968521588866</v>
      </c>
      <c r="U138" s="276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100000000</v>
      </c>
      <c r="J139" s="502">
        <v>0</v>
      </c>
      <c r="K139" s="502">
        <v>0</v>
      </c>
      <c r="L139" s="502">
        <v>288318968.70999998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388318968.70999998</v>
      </c>
      <c r="T139" s="444">
        <f t="shared" si="29"/>
        <v>4.5340000549938111</v>
      </c>
      <c r="U139" s="276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7.0055811129533199E-2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812325</v>
      </c>
      <c r="H141" s="502">
        <v>812325</v>
      </c>
      <c r="I141" s="502">
        <v>812325</v>
      </c>
      <c r="J141" s="502">
        <v>812325</v>
      </c>
      <c r="K141" s="502">
        <v>812325</v>
      </c>
      <c r="L141" s="502">
        <v>812325</v>
      </c>
      <c r="M141" s="502">
        <v>812325</v>
      </c>
      <c r="N141" s="502">
        <v>812325</v>
      </c>
      <c r="O141" s="502">
        <v>812325</v>
      </c>
      <c r="P141" s="502">
        <v>812325</v>
      </c>
      <c r="Q141" s="502">
        <v>812325</v>
      </c>
      <c r="R141" s="502">
        <v>812329</v>
      </c>
      <c r="S141" s="92">
        <f t="shared" si="28"/>
        <v>9747904</v>
      </c>
      <c r="T141" s="444">
        <f t="shared" si="29"/>
        <v>0.11381622025547018</v>
      </c>
      <c r="U141" s="276"/>
    </row>
    <row r="142" spans="1:22" ht="13.5" thickBot="1">
      <c r="A142" s="106" t="str">
        <f t="shared" ref="A142" si="3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v>155186797.46000004</v>
      </c>
      <c r="H142" s="86">
        <v>60690674.185753934</v>
      </c>
      <c r="I142" s="86">
        <v>-43507376.631949127</v>
      </c>
      <c r="J142" s="86">
        <v>61350731.649049275</v>
      </c>
      <c r="K142" s="86">
        <v>37279514.990495406</v>
      </c>
      <c r="L142" s="86">
        <v>-176411494.36316609</v>
      </c>
      <c r="M142" s="86">
        <v>35249288.817707323</v>
      </c>
      <c r="N142" s="86">
        <v>-38230127.027266614</v>
      </c>
      <c r="O142" s="86">
        <v>-43398847.817590408</v>
      </c>
      <c r="P142" s="86">
        <v>5495426.9315742552</v>
      </c>
      <c r="Q142" s="86">
        <v>-3523402.5347963348</v>
      </c>
      <c r="R142" s="86">
        <v>149818815.59247664</v>
      </c>
      <c r="S142" s="94">
        <f>+SUM(G142:R142)</f>
        <v>200000001.25228828</v>
      </c>
      <c r="T142" s="448">
        <f t="shared" si="29"/>
        <v>2.3351937189394518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1u9ovBxDGYV2wRFotPZgW3RAgThIzJ8NeZ+PggxqkuMZLDZIbW6bFIodhjcjNZF6wZXE72+03FCYloDtZI4JDg==" saltValue="jZ2zq2mDFWvf+ofaFIuaNA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2023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6963615000</v>
      </c>
    </row>
    <row r="8" spans="1:24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4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8" t="s">
        <v>101</v>
      </c>
      <c r="C65" s="569"/>
      <c r="D65" s="569"/>
      <c r="E65" s="569"/>
      <c r="F65" s="56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2023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6624340418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2022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5796761000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4" t="str">
        <f>+VLOOKUP($A63,Master!$D$30:$G$226,4,FALSE)</f>
        <v>Pozajmice i krediti od inostranih izvora</v>
      </c>
      <c r="C63" s="585"/>
      <c r="D63" s="585"/>
      <c r="E63" s="585"/>
      <c r="F63" s="585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8" t="s">
        <v>101</v>
      </c>
      <c r="C65" s="569"/>
      <c r="D65" s="569"/>
      <c r="E65" s="569"/>
      <c r="F65" s="56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2022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5700400000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9" t="str">
        <f>+VLOOKUP(LEFT($A135,LEN(A135)-1)*1,Master!$D$30:$G$226,4,FALSE)</f>
        <v>Nedostajuća sredstva</v>
      </c>
      <c r="C135" s="660"/>
      <c r="D135" s="660"/>
      <c r="E135" s="660"/>
      <c r="F135" s="66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33" t="str">
        <f>+VLOOKUP(LEFT($A136,LEN(A136)-1)*1,Master!$D$30:$G$226,4,FALSE)</f>
        <v>Finansiranje</v>
      </c>
      <c r="C136" s="634"/>
      <c r="D136" s="634"/>
      <c r="E136" s="634"/>
      <c r="F136" s="63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61" t="str">
        <f>+VLOOKUP(LEFT($A137,LEN(A137)-1)*1,Master!$D$30:$G$226,4,FALSE)</f>
        <v>Pozajmice i krediti od domaćih izvora</v>
      </c>
      <c r="C137" s="662"/>
      <c r="D137" s="662"/>
      <c r="E137" s="662"/>
      <c r="F137" s="66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5" t="str">
        <f>+VLOOKUP(LEFT($A138,LEN(A138)-1)*1,Master!$D$30:$G$226,4,FALSE)</f>
        <v>Pozajmice i krediti od inostranih izvora</v>
      </c>
      <c r="C138" s="656"/>
      <c r="D138" s="656"/>
      <c r="E138" s="656"/>
      <c r="F138" s="656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5" t="str">
        <f>+VLOOKUP(LEFT($A139,LEN(A139)-1)*1,Master!$D$30:$G$226,4,FALSE)</f>
        <v>Primici od prodaje imovine</v>
      </c>
      <c r="C139" s="656"/>
      <c r="D139" s="656"/>
      <c r="E139" s="656"/>
      <c r="F139" s="656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2021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4955116000</v>
      </c>
    </row>
    <row r="8" spans="1:22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2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10" t="str">
        <f>+VLOOKUP($A19,Master!$D$30:$G$226,4,FALSE)</f>
        <v>Doprinosi</v>
      </c>
      <c r="C19" s="611"/>
      <c r="D19" s="611"/>
      <c r="E19" s="611"/>
      <c r="F19" s="611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8" t="str">
        <f>+VLOOKUP($A59,Master!$D$30:$G$226,4,FALSE)</f>
        <v>Nedostajuća sredstva</v>
      </c>
      <c r="C59" s="589"/>
      <c r="D59" s="589"/>
      <c r="E59" s="589"/>
      <c r="F59" s="58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90" t="str">
        <f>+VLOOKUP($A60,Master!$D$30:$G$226,4,FALSE)</f>
        <v>Finansiranje</v>
      </c>
      <c r="C60" s="591"/>
      <c r="D60" s="591"/>
      <c r="E60" s="591"/>
      <c r="F60" s="591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4" t="str">
        <f>+VLOOKUP($A61,Master!$D$30:$G$226,4,FALSE)</f>
        <v>Pozajmice i krediti od domaćih izvora</v>
      </c>
      <c r="C61" s="585"/>
      <c r="D61" s="585"/>
      <c r="E61" s="585"/>
      <c r="F61" s="585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8" t="str">
        <f>+VLOOKUP($A62,Master!$D$30:$G$226,4,FALSE)</f>
        <v>Pozajmice i krediti od inostranih izvora</v>
      </c>
      <c r="C62" s="569"/>
      <c r="D62" s="569"/>
      <c r="E62" s="569"/>
      <c r="F62" s="56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8" t="str">
        <f>+VLOOKUP($A63,Master!$D$30:$G$226,4,FALSE)</f>
        <v>Primici od prodaje imovine</v>
      </c>
      <c r="C63" s="569"/>
      <c r="D63" s="569"/>
      <c r="E63" s="569"/>
      <c r="F63" s="56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9" t="str">
        <f>+Master!G253</f>
        <v>Plan ostvarenja budžeta</v>
      </c>
      <c r="C81" s="640"/>
      <c r="D81" s="640"/>
      <c r="E81" s="640"/>
      <c r="F81" s="640"/>
      <c r="G81" s="622">
        <v>2021</v>
      </c>
      <c r="H81" s="623"/>
      <c r="I81" s="623"/>
      <c r="J81" s="623"/>
      <c r="K81" s="623"/>
      <c r="L81" s="623"/>
      <c r="M81" s="623"/>
      <c r="N81" s="623"/>
      <c r="O81" s="623"/>
      <c r="P81" s="623"/>
      <c r="Q81" s="623"/>
      <c r="R81" s="624"/>
      <c r="S81" s="96" t="str">
        <f>+S7</f>
        <v>BDP</v>
      </c>
      <c r="T81" s="97">
        <v>4636600000</v>
      </c>
    </row>
    <row r="82" spans="1:21" ht="15.75" customHeight="1">
      <c r="B82" s="641"/>
      <c r="C82" s="642"/>
      <c r="D82" s="642"/>
      <c r="E82" s="642"/>
      <c r="F82" s="64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2" t="str">
        <f>+Master!G247</f>
        <v>Jan - Dec</v>
      </c>
      <c r="T82" s="624">
        <f>+T8</f>
        <v>0</v>
      </c>
    </row>
    <row r="83" spans="1:21" ht="13.5" thickBot="1">
      <c r="B83" s="644"/>
      <c r="C83" s="645"/>
      <c r="D83" s="645"/>
      <c r="E83" s="645"/>
      <c r="F83" s="64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9" t="str">
        <f>+VLOOKUP(LEFT($A84,LEN(A84)-1)*1,Master!$D$30:$G$226,4,FALSE)</f>
        <v>Prihodi budžeta</v>
      </c>
      <c r="C84" s="670"/>
      <c r="D84" s="670"/>
      <c r="E84" s="670"/>
      <c r="F84" s="670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5" t="str">
        <f>+VLOOKUP(LEFT($A85,LEN(A85)-1)*1,Master!$D$30:$G$226,4,FALSE)</f>
        <v>Porezi</v>
      </c>
      <c r="C85" s="636"/>
      <c r="D85" s="636"/>
      <c r="E85" s="636"/>
      <c r="F85" s="63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7" t="str">
        <f>+VLOOKUP(LEFT($A86,LEN(A86)-1)*1,Master!$D$30:$G$229,4,FALSE)</f>
        <v>Porez na dohodak fizičkih lica</v>
      </c>
      <c r="C86" s="638"/>
      <c r="D86" s="638"/>
      <c r="E86" s="638"/>
      <c r="F86" s="63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7" t="str">
        <f>+VLOOKUP(LEFT($A87,LEN(A87)-1)*1,Master!$D$30:$G$229,4,FALSE)</f>
        <v>Porez na dobit pravnih lica</v>
      </c>
      <c r="C87" s="638"/>
      <c r="D87" s="638"/>
      <c r="E87" s="638"/>
      <c r="F87" s="63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7" t="str">
        <f>+VLOOKUP(LEFT($A88,LEN(A88)-1)*1,Master!$D$30:$G$229,4,FALSE)</f>
        <v>Porez na promet nepokretnosti</v>
      </c>
      <c r="C88" s="638"/>
      <c r="D88" s="638"/>
      <c r="E88" s="638"/>
      <c r="F88" s="63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7" t="str">
        <f>+VLOOKUP(LEFT($A89,LEN(A89)-1)*1,Master!$D$30:$G$229,4,FALSE)</f>
        <v>Porez na dodatu vrijednost</v>
      </c>
      <c r="C89" s="638"/>
      <c r="D89" s="638"/>
      <c r="E89" s="638"/>
      <c r="F89" s="63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7" t="str">
        <f>+VLOOKUP(LEFT($A90,LEN(A90)-1)*1,Master!$D$30:$G$229,4,FALSE)</f>
        <v>Akcize</v>
      </c>
      <c r="C90" s="638"/>
      <c r="D90" s="638"/>
      <c r="E90" s="638"/>
      <c r="F90" s="63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7" t="str">
        <f>+VLOOKUP(LEFT($A91,LEN(A91)-1)*1,Master!$D$30:$G$229,4,FALSE)</f>
        <v>Porez na međunarodnu trgovinu i transakcije</v>
      </c>
      <c r="C91" s="638"/>
      <c r="D91" s="638"/>
      <c r="E91" s="638"/>
      <c r="F91" s="63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7" t="str">
        <f>+VLOOKUP(LEFT($A92,LEN(A92)-1)*1,Master!$D$30:$G$229,4,FALSE)</f>
        <v>Ostali državni porezi</v>
      </c>
      <c r="C92" s="638"/>
      <c r="D92" s="638"/>
      <c r="E92" s="638"/>
      <c r="F92" s="63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7" t="str">
        <f>+VLOOKUP(LEFT($A93,LEN(A93)-1)*1,Master!$D$30:$G$229,4,FALSE)</f>
        <v>Doprinosi</v>
      </c>
      <c r="C93" s="668"/>
      <c r="D93" s="668"/>
      <c r="E93" s="668"/>
      <c r="F93" s="66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7" t="str">
        <f>+VLOOKUP(LEFT($A94,LEN(A94)-1)*1,Master!$D$30:$G$229,4,FALSE)</f>
        <v>Doprinosi za penzijsko i invalidsko osiguranje</v>
      </c>
      <c r="C94" s="638"/>
      <c r="D94" s="638"/>
      <c r="E94" s="638"/>
      <c r="F94" s="63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7" t="str">
        <f>+VLOOKUP(LEFT($A95,LEN(A95)-1)*1,Master!$D$30:$G$229,4,FALSE)</f>
        <v>Doprinosi za zdravstveno osiguranje</v>
      </c>
      <c r="C95" s="638"/>
      <c r="D95" s="638"/>
      <c r="E95" s="638"/>
      <c r="F95" s="63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7" t="str">
        <f>+VLOOKUP(LEFT($A96,LEN(A96)-1)*1,Master!$D$30:$G$229,4,FALSE)</f>
        <v>Doprinosi za osiguranje od nezaposlenosti</v>
      </c>
      <c r="C96" s="638"/>
      <c r="D96" s="638"/>
      <c r="E96" s="638"/>
      <c r="F96" s="63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7" t="str">
        <f>+VLOOKUP(LEFT($A97,LEN(A97)-1)*1,Master!$D$30:$G$229,4,FALSE)</f>
        <v>Ostali doprinosi</v>
      </c>
      <c r="C97" s="638"/>
      <c r="D97" s="638"/>
      <c r="E97" s="638"/>
      <c r="F97" s="63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7" t="str">
        <f>+VLOOKUP(LEFT($A98,LEN(A98)-1)*1,Master!$D$30:$G$229,4,FALSE)</f>
        <v>Takse</v>
      </c>
      <c r="C98" s="648"/>
      <c r="D98" s="648"/>
      <c r="E98" s="648"/>
      <c r="F98" s="648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7" t="str">
        <f>+VLOOKUP(LEFT($A99,LEN(A99)-1)*1,Master!$D$30:$G$229,4,FALSE)</f>
        <v>Naknade</v>
      </c>
      <c r="C99" s="648"/>
      <c r="D99" s="648"/>
      <c r="E99" s="648"/>
      <c r="F99" s="648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7" t="str">
        <f>+VLOOKUP(LEFT($A100,LEN(A100)-1)*1,Master!$D$30:$G$229,4,FALSE)</f>
        <v>Ostali prihodi</v>
      </c>
      <c r="C100" s="648"/>
      <c r="D100" s="648"/>
      <c r="E100" s="648"/>
      <c r="F100" s="648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7" t="str">
        <f>+VLOOKUP(LEFT($A101,LEN(A101)-1)*1,Master!$D$30:$G$229,4,FALSE)</f>
        <v>Primici od otplate kredita i sredstva prenesena iz prethodne godine</v>
      </c>
      <c r="C101" s="648"/>
      <c r="D101" s="648"/>
      <c r="E101" s="648"/>
      <c r="F101" s="648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9" t="str">
        <f>+VLOOKUP(LEFT($A102,LEN(A102)-1)*1,Master!$D$30:$G$229,4,FALSE)</f>
        <v>Donacije i transferi</v>
      </c>
      <c r="C102" s="650"/>
      <c r="D102" s="650"/>
      <c r="E102" s="650"/>
      <c r="F102" s="65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33" t="str">
        <f>+VLOOKUP(LEFT($A103,LEN(A103)-1)*1,Master!$D$30:$G$229,4,FALSE)</f>
        <v>Izdaci budžeta</v>
      </c>
      <c r="C103" s="634"/>
      <c r="D103" s="634"/>
      <c r="E103" s="634"/>
      <c r="F103" s="63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51" t="str">
        <f>+VLOOKUP(LEFT($A104,LEN(A104)-1)*1,Master!$D$30:$G$229,4,FALSE)</f>
        <v>Tekući izdaci</v>
      </c>
      <c r="C104" s="652"/>
      <c r="D104" s="652"/>
      <c r="E104" s="652"/>
      <c r="F104" s="65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7" t="str">
        <f>+VLOOKUP(LEFT($A105,LEN(A105)-1)*1,Master!$D$30:$G$229,4,FALSE)</f>
        <v>Bruto zarade i doprinosi na teret poslodavca</v>
      </c>
      <c r="C105" s="638"/>
      <c r="D105" s="638"/>
      <c r="E105" s="638"/>
      <c r="F105" s="63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7" t="str">
        <f>+VLOOKUP(LEFT($A106,LEN(A106)-1)*1,Master!$D$30:$G$229,4,FALSE)</f>
        <v>Ostala lična primanja</v>
      </c>
      <c r="C106" s="638"/>
      <c r="D106" s="638"/>
      <c r="E106" s="638"/>
      <c r="F106" s="63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7" t="str">
        <f>+VLOOKUP(LEFT($A107,LEN(A107)-1)*1,Master!$D$30:$G$229,4,FALSE)</f>
        <v>Rashodi za materijal</v>
      </c>
      <c r="C107" s="638"/>
      <c r="D107" s="638"/>
      <c r="E107" s="638"/>
      <c r="F107" s="63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7" t="str">
        <f>+VLOOKUP(LEFT($A108,LEN(A108)-1)*1,Master!$D$30:$G$229,4,FALSE)</f>
        <v>Rashodi za usluge</v>
      </c>
      <c r="C108" s="638"/>
      <c r="D108" s="638"/>
      <c r="E108" s="638"/>
      <c r="F108" s="63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7" t="str">
        <f>+VLOOKUP(LEFT($A109,LEN(A109)-1)*1,Master!$D$30:$G$229,4,FALSE)</f>
        <v>Rashodi za tekuće održavanje</v>
      </c>
      <c r="C109" s="638"/>
      <c r="D109" s="638"/>
      <c r="E109" s="638"/>
      <c r="F109" s="63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7" t="str">
        <f>+VLOOKUP(LEFT($A110,LEN(A110)-1)*1,Master!$D$30:$G$229,4,FALSE)</f>
        <v>Kamate</v>
      </c>
      <c r="C110" s="638"/>
      <c r="D110" s="638"/>
      <c r="E110" s="638"/>
      <c r="F110" s="63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7" t="str">
        <f>+VLOOKUP(LEFT($A111,LEN(A111)-1)*1,Master!$D$30:$G$229,4,FALSE)</f>
        <v>Renta</v>
      </c>
      <c r="C111" s="638"/>
      <c r="D111" s="638"/>
      <c r="E111" s="638"/>
      <c r="F111" s="63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7" t="str">
        <f>+VLOOKUP(LEFT($A112,LEN(A112)-1)*1,Master!$D$30:$G$229,4,FALSE)</f>
        <v>Subvencije</v>
      </c>
      <c r="C112" s="638"/>
      <c r="D112" s="638"/>
      <c r="E112" s="638"/>
      <c r="F112" s="63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7" t="str">
        <f>+VLOOKUP(LEFT($A113,LEN(A113)-1)*1,Master!$D$30:$G$229,4,FALSE)</f>
        <v>Ostali izdaci</v>
      </c>
      <c r="C113" s="638"/>
      <c r="D113" s="638"/>
      <c r="E113" s="638"/>
      <c r="F113" s="63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7" t="str">
        <f>+VLOOKUP(LEFT($A114,LEN(A114)-1)*1,Master!$D$30:$G$229,4,FALSE)</f>
        <v>Transferi za socijalnu zaštitu</v>
      </c>
      <c r="C114" s="658"/>
      <c r="D114" s="658"/>
      <c r="E114" s="658"/>
      <c r="F114" s="658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7" t="str">
        <f>+VLOOKUP(LEFT($A115,LEN(A115)-1)*1,Master!$D$30:$G$229,4,FALSE)</f>
        <v>Prava iz oblasti socijalne zaštite</v>
      </c>
      <c r="C115" s="638"/>
      <c r="D115" s="638"/>
      <c r="E115" s="638"/>
      <c r="F115" s="63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7" t="str">
        <f>+VLOOKUP(LEFT($A116,LEN(A116)-1)*1,Master!$D$30:$G$229,4,FALSE)</f>
        <v>Sredstva za tehnološke viškove</v>
      </c>
      <c r="C116" s="638"/>
      <c r="D116" s="638"/>
      <c r="E116" s="638"/>
      <c r="F116" s="63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7" t="str">
        <f>+VLOOKUP(LEFT($A117,LEN(A117)-1)*1,Master!$D$30:$G$229,4,FALSE)</f>
        <v>Prava iz oblasti penzijskog i invalidskog osiguranja</v>
      </c>
      <c r="C117" s="638"/>
      <c r="D117" s="638"/>
      <c r="E117" s="638"/>
      <c r="F117" s="63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7" t="str">
        <f>+VLOOKUP(LEFT($A118,LEN(A118)-1)*1,Master!$D$30:$G$229,4,FALSE)</f>
        <v>Ostala prava iz oblasti zdravstvene zaštite</v>
      </c>
      <c r="C118" s="638"/>
      <c r="D118" s="638"/>
      <c r="E118" s="638"/>
      <c r="F118" s="63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7" t="str">
        <f>+VLOOKUP(LEFT($A119,LEN(A119)-1)*1,Master!$D$30:$G$229,4,FALSE)</f>
        <v>Ostala prava iz zdravstvenog osiguranja</v>
      </c>
      <c r="C119" s="638"/>
      <c r="D119" s="638"/>
      <c r="E119" s="638"/>
      <c r="F119" s="63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53" t="str">
        <f>+VLOOKUP(LEFT($A120,LEN(A120)-1)*1,Master!$D$30:$G$229,4,FALSE)</f>
        <v xml:space="preserve">Transferi institucijama, pojedincima, nevladinom i javnom sektoru </v>
      </c>
      <c r="C120" s="654"/>
      <c r="D120" s="654"/>
      <c r="E120" s="654"/>
      <c r="F120" s="654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53" t="str">
        <f>+VLOOKUP(LEFT($A121,LEN(A121)-1)*1,Master!$D$30:$G$229,4,FALSE)</f>
        <v>Kapitalni izdaci</v>
      </c>
      <c r="C121" s="654"/>
      <c r="D121" s="654"/>
      <c r="E121" s="654"/>
      <c r="F121" s="654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5" t="str">
        <f>+VLOOKUP(LEFT($A122,LEN(A122)-1)*1,Master!$D$30:$G$229,4,FALSE)</f>
        <v>Pozajmice i krediti</v>
      </c>
      <c r="C122" s="656"/>
      <c r="D122" s="656"/>
      <c r="E122" s="656"/>
      <c r="F122" s="656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5" t="str">
        <f>+VLOOKUP(LEFT($A123,LEN(A123)-1)*1,Master!$D$30:$G$229,4,FALSE)</f>
        <v>Rezerve</v>
      </c>
      <c r="C123" s="656"/>
      <c r="D123" s="656"/>
      <c r="E123" s="656"/>
      <c r="F123" s="656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5" t="str">
        <f>+VLOOKUP(LEFT($A124,LEN(A124)-1)*1,Master!$D$30:$G$229,4,FALSE)</f>
        <v>Otplata garancija</v>
      </c>
      <c r="C124" s="656"/>
      <c r="D124" s="656"/>
      <c r="E124" s="656"/>
      <c r="F124" s="656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5" t="str">
        <f>+VLOOKUP(LEFT($A125,LEN(A125)-1)*1,Master!$D$30:$G$229,4,FALSE)</f>
        <v>Otplata obaveza iz prethodnog perioda</v>
      </c>
      <c r="C125" s="656"/>
      <c r="D125" s="656"/>
      <c r="E125" s="656"/>
      <c r="F125" s="656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5" t="str">
        <f>+VLOOKUP(LEFT($A126,LEN(A126)-1)*1,Master!$D$30:$G$229,4,FALSE)</f>
        <v>Neto povećanje obaveza</v>
      </c>
      <c r="C126" s="656"/>
      <c r="D126" s="656"/>
      <c r="E126" s="656"/>
      <c r="F126" s="65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63" t="str">
        <f>+VLOOKUP(LEFT($A127,LEN(A127)-1)*1,Master!$D$30:$G$226,4,FALSE)</f>
        <v>Suficit / deficit</v>
      </c>
      <c r="C127" s="664"/>
      <c r="D127" s="664"/>
      <c r="E127" s="664"/>
      <c r="F127" s="664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5" t="str">
        <f>+VLOOKUP(LEFT($A128,LEN(A128)-1)*1,Master!$D$30:$G$226,4,FALSE)</f>
        <v>Primarni suficit/deficit</v>
      </c>
      <c r="C128" s="666"/>
      <c r="D128" s="666"/>
      <c r="E128" s="666"/>
      <c r="F128" s="666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7" t="str">
        <f>+VLOOKUP(LEFT($A129,LEN(A129)-1)*1,Master!$D$30:$G$226,4,FALSE)</f>
        <v>Otplata dugova</v>
      </c>
      <c r="C129" s="658"/>
      <c r="D129" s="658"/>
      <c r="E129" s="658"/>
      <c r="F129" s="658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61" t="str">
        <f>+VLOOKUP(LEFT($A130,LEN(A130)-1)*1,Master!$D$30:$G$226,4,FALSE)</f>
        <v>Otplata hartija od vrijednosti i kredita rezidentima</v>
      </c>
      <c r="C130" s="662"/>
      <c r="D130" s="662"/>
      <c r="E130" s="662"/>
      <c r="F130" s="66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5" t="str">
        <f>+VLOOKUP(LEFT($A131,LEN(A131)-1)*1,Master!$D$30:$G$226,4,FALSE)</f>
        <v>Otplata hartija od vrijednosti i kredita nerezidentima</v>
      </c>
      <c r="C131" s="656"/>
      <c r="D131" s="656"/>
      <c r="E131" s="656"/>
      <c r="F131" s="656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33" t="str">
        <f>+VLOOKUP(LEFT($A132,LEN(A132)-1)*1,Master!$D$30:$G$226,4,FALSE)</f>
        <v>Izdaci za kupovinu hartija od vrijednosti</v>
      </c>
      <c r="C132" s="634"/>
      <c r="D132" s="634"/>
      <c r="E132" s="634"/>
      <c r="F132" s="63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9" t="str">
        <f>+VLOOKUP(LEFT($A133,LEN(A133)-1)*1,Master!$D$30:$G$226,4,FALSE)</f>
        <v>Nedostajuća sredstva</v>
      </c>
      <c r="C133" s="660"/>
      <c r="D133" s="660"/>
      <c r="E133" s="660"/>
      <c r="F133" s="66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33" t="str">
        <f>+VLOOKUP(LEFT($A134,LEN(A134)-1)*1,Master!$D$30:$G$226,4,FALSE)</f>
        <v>Finansiranje</v>
      </c>
      <c r="C134" s="634"/>
      <c r="D134" s="634"/>
      <c r="E134" s="634"/>
      <c r="F134" s="63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61" t="str">
        <f>+VLOOKUP(LEFT($A135,LEN(A135)-1)*1,Master!$D$30:$G$226,4,FALSE)</f>
        <v>Pozajmice i krediti od domaćih izvora</v>
      </c>
      <c r="C135" s="662"/>
      <c r="D135" s="662"/>
      <c r="E135" s="662"/>
      <c r="F135" s="66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5" t="str">
        <f>+VLOOKUP(LEFT($A136,LEN(A136)-1)*1,Master!$D$30:$G$226,4,FALSE)</f>
        <v>Pozajmice i krediti od inostranih izvora</v>
      </c>
      <c r="C136" s="656"/>
      <c r="D136" s="656"/>
      <c r="E136" s="656"/>
      <c r="F136" s="656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5" t="str">
        <f>+VLOOKUP(LEFT($A137,LEN(A137)-1)*1,Master!$D$30:$G$226,4,FALSE)</f>
        <v>Primici od prodaje imovine</v>
      </c>
      <c r="C137" s="656"/>
      <c r="D137" s="656"/>
      <c r="E137" s="656"/>
      <c r="F137" s="656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Aleksandar Mihaljevic</cp:lastModifiedBy>
  <cp:lastPrinted>2025-09-30T07:06:18Z</cp:lastPrinted>
  <dcterms:created xsi:type="dcterms:W3CDTF">2014-09-15T13:41:17Z</dcterms:created>
  <dcterms:modified xsi:type="dcterms:W3CDTF">2026-05-11T07:37:22Z</dcterms:modified>
</cp:coreProperties>
</file>